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ar\E39 M5\"/>
    </mc:Choice>
  </mc:AlternateContent>
  <bookViews>
    <workbookView xWindow="-120" yWindow="-120" windowWidth="19320" windowHeight="7428" activeTab="1"/>
  </bookViews>
  <sheets>
    <sheet name="Engine" sheetId="7" r:id="rId1"/>
    <sheet name="Order List" sheetId="9" r:id="rId2"/>
    <sheet name="Nate Jones List" sheetId="8" r:id="rId3"/>
  </sheets>
  <definedNames>
    <definedName name="_xlnm._FilterDatabase" localSheetId="0" hidden="1">Engine!$A$2:$H$2</definedName>
    <definedName name="_xlnm.Print_Area" localSheetId="1">'Order List'!$A$1:$G$97</definedName>
    <definedName name="_xlnm.Print_Titles" localSheetId="1">'Order List'!$1:$2</definedName>
  </definedNames>
  <calcPr calcId="152511"/>
</workbook>
</file>

<file path=xl/calcChain.xml><?xml version="1.0" encoding="utf-8"?>
<calcChain xmlns="http://schemas.openxmlformats.org/spreadsheetml/2006/main">
  <c r="G63" i="9" l="1"/>
  <c r="F63" i="9"/>
  <c r="F10" i="9" l="1"/>
  <c r="G10" i="9" s="1"/>
  <c r="F48" i="9"/>
  <c r="G48" i="9" s="1"/>
  <c r="F36" i="9"/>
  <c r="G36" i="9" s="1"/>
  <c r="F35" i="9"/>
  <c r="G35" i="9" s="1"/>
  <c r="F34" i="9"/>
  <c r="G34" i="9" s="1"/>
  <c r="F33" i="9"/>
  <c r="G33" i="9" s="1"/>
  <c r="F32" i="9"/>
  <c r="G32" i="9" s="1"/>
  <c r="F31" i="9"/>
  <c r="G31" i="9" s="1"/>
  <c r="F30" i="9"/>
  <c r="G30" i="9" s="1"/>
  <c r="F29" i="9"/>
  <c r="G29" i="9" s="1"/>
  <c r="F28" i="9"/>
  <c r="G28" i="9" s="1"/>
  <c r="F25" i="9"/>
  <c r="G25" i="9" s="1"/>
  <c r="F24" i="9"/>
  <c r="G24" i="9" s="1"/>
  <c r="F23" i="9"/>
  <c r="G23" i="9"/>
  <c r="F20" i="9"/>
  <c r="G20" i="9" s="1"/>
  <c r="F17" i="9"/>
  <c r="G17" i="9" s="1"/>
  <c r="F15" i="9"/>
  <c r="G15" i="9" s="1"/>
  <c r="F14" i="9"/>
  <c r="G14" i="9" s="1"/>
  <c r="F87" i="9"/>
  <c r="G87" i="9" s="1"/>
  <c r="G6" i="9" l="1"/>
  <c r="G69" i="9"/>
  <c r="G127" i="7"/>
  <c r="G6" i="7"/>
  <c r="G76" i="9" l="1"/>
  <c r="G77" i="9" s="1"/>
  <c r="E225" i="7"/>
  <c r="F208" i="7"/>
  <c r="F207" i="7"/>
  <c r="F206" i="7"/>
  <c r="F205" i="7"/>
  <c r="F204" i="7"/>
  <c r="F203" i="7"/>
  <c r="F202" i="7"/>
  <c r="F201" i="7"/>
  <c r="F200" i="7"/>
  <c r="F199" i="7"/>
  <c r="F198" i="7"/>
  <c r="F197" i="7"/>
  <c r="F196" i="7"/>
  <c r="F168" i="7"/>
  <c r="F169" i="7"/>
  <c r="G8" i="7" l="1"/>
  <c r="G4" i="7"/>
  <c r="G118" i="7"/>
  <c r="G117" i="7"/>
  <c r="G179" i="7"/>
  <c r="G176" i="7"/>
  <c r="G71" i="9"/>
  <c r="E80" i="9"/>
  <c r="E120" i="7" l="1"/>
  <c r="G92" i="9"/>
  <c r="F92" i="9"/>
  <c r="G91" i="9"/>
  <c r="F91" i="9"/>
  <c r="G90" i="9"/>
  <c r="F90" i="9"/>
  <c r="G89" i="9"/>
  <c r="F89" i="9"/>
  <c r="G88" i="9"/>
  <c r="F88" i="9"/>
  <c r="G86" i="9"/>
  <c r="G85" i="9"/>
  <c r="G84" i="9"/>
  <c r="F84" i="9"/>
  <c r="G83" i="9"/>
  <c r="F83" i="9"/>
  <c r="G82" i="9"/>
  <c r="F82" i="9"/>
  <c r="G81" i="9"/>
  <c r="F81" i="9"/>
  <c r="G80" i="9"/>
  <c r="G70" i="9"/>
  <c r="F70" i="9"/>
  <c r="G39" i="9"/>
  <c r="F39" i="9"/>
  <c r="G38" i="9"/>
  <c r="F38" i="9"/>
  <c r="G37" i="9"/>
  <c r="F37" i="9"/>
  <c r="G68" i="9"/>
  <c r="F68" i="9"/>
  <c r="G67" i="9"/>
  <c r="F67" i="9"/>
  <c r="G66" i="9"/>
  <c r="F66" i="9"/>
  <c r="G65" i="9"/>
  <c r="F65" i="9"/>
  <c r="G64" i="9"/>
  <c r="F64" i="9"/>
  <c r="E72" i="9"/>
  <c r="G62" i="9"/>
  <c r="F62" i="9"/>
  <c r="G56" i="9"/>
  <c r="F56" i="9"/>
  <c r="G55" i="9"/>
  <c r="F55" i="9"/>
  <c r="G54" i="9"/>
  <c r="F54" i="9"/>
  <c r="G53" i="9"/>
  <c r="F53" i="9"/>
  <c r="G52" i="9"/>
  <c r="F52" i="9"/>
  <c r="G51" i="9"/>
  <c r="F51" i="9"/>
  <c r="G50" i="9"/>
  <c r="F50" i="9"/>
  <c r="G49" i="9"/>
  <c r="F49" i="9"/>
  <c r="G47" i="9"/>
  <c r="F47" i="9"/>
  <c r="G46" i="9"/>
  <c r="F46" i="9"/>
  <c r="G45" i="9"/>
  <c r="F45" i="9"/>
  <c r="G44" i="9"/>
  <c r="F44" i="9"/>
  <c r="G43" i="9"/>
  <c r="F43" i="9"/>
  <c r="E40" i="9"/>
  <c r="F27" i="9"/>
  <c r="G27" i="9" s="1"/>
  <c r="F26" i="9"/>
  <c r="G26" i="9" s="1"/>
  <c r="F22" i="9"/>
  <c r="G22" i="9" s="1"/>
  <c r="F21" i="9"/>
  <c r="G21" i="9" s="1"/>
  <c r="F19" i="9"/>
  <c r="G19" i="9" s="1"/>
  <c r="F18" i="9"/>
  <c r="G18" i="9" s="1"/>
  <c r="F16" i="9"/>
  <c r="G16" i="9" s="1"/>
  <c r="G13" i="9"/>
  <c r="F13" i="9"/>
  <c r="G12" i="9"/>
  <c r="F12" i="9"/>
  <c r="G11" i="9"/>
  <c r="F11" i="9"/>
  <c r="G9" i="9"/>
  <c r="F9" i="9"/>
  <c r="G8" i="9"/>
  <c r="F8" i="9"/>
  <c r="G5" i="9"/>
  <c r="F5" i="9"/>
  <c r="G188" i="7"/>
  <c r="F189" i="7"/>
  <c r="G187" i="7"/>
  <c r="F40" i="9" l="1"/>
  <c r="G93" i="9"/>
  <c r="F57" i="9"/>
  <c r="F93" i="9"/>
  <c r="F72" i="9"/>
  <c r="G40" i="9"/>
  <c r="G57" i="9"/>
  <c r="E57" i="9"/>
  <c r="E93" i="9" s="1"/>
  <c r="E95" i="9" s="1"/>
  <c r="G72" i="9"/>
  <c r="G95" i="9" l="1"/>
  <c r="F95" i="9"/>
  <c r="F211" i="7"/>
  <c r="F210" i="7"/>
  <c r="F209" i="7"/>
  <c r="F185" i="7"/>
  <c r="F184" i="7"/>
  <c r="F174" i="7"/>
  <c r="F173" i="7"/>
  <c r="F172" i="7"/>
  <c r="F171" i="7"/>
  <c r="F170" i="7"/>
  <c r="G5" i="7"/>
  <c r="G9" i="7"/>
  <c r="G10" i="7"/>
  <c r="G11" i="7"/>
  <c r="G12" i="7"/>
  <c r="G13" i="7"/>
  <c r="G14" i="7"/>
  <c r="G15" i="7"/>
  <c r="G16" i="7"/>
  <c r="G17" i="7"/>
  <c r="G18" i="7"/>
  <c r="G19" i="7"/>
  <c r="G20" i="7"/>
  <c r="G21" i="7"/>
  <c r="G22" i="7"/>
  <c r="G23" i="7"/>
  <c r="G25" i="7"/>
  <c r="G41" i="7"/>
  <c r="G42" i="7"/>
  <c r="G50" i="7"/>
  <c r="G51" i="7"/>
  <c r="G53" i="7"/>
  <c r="G54" i="7"/>
  <c r="G55" i="7"/>
  <c r="G57" i="7"/>
  <c r="G59" i="7"/>
  <c r="G60" i="7"/>
  <c r="G61" i="7"/>
  <c r="G62" i="7"/>
  <c r="G67" i="7"/>
  <c r="G73" i="7"/>
  <c r="G74" i="7"/>
  <c r="G75" i="7"/>
  <c r="G76" i="7"/>
  <c r="G77" i="7"/>
  <c r="G88" i="7"/>
  <c r="G89" i="7"/>
  <c r="G90" i="7"/>
  <c r="G92" i="7"/>
  <c r="G95" i="7"/>
  <c r="G96" i="7"/>
  <c r="G97" i="7"/>
  <c r="G98" i="7"/>
  <c r="G99" i="7"/>
  <c r="G119" i="7"/>
  <c r="G121" i="7"/>
  <c r="G122" i="7"/>
  <c r="G123" i="7"/>
  <c r="G125" i="7"/>
  <c r="G126" i="7"/>
  <c r="G159" i="7"/>
  <c r="G160" i="7"/>
  <c r="G161" i="7"/>
  <c r="G175" i="7"/>
  <c r="G180" i="7"/>
  <c r="G181" i="7"/>
  <c r="G182" i="7"/>
  <c r="G183" i="7"/>
  <c r="G191" i="7"/>
  <c r="G212" i="7"/>
  <c r="G213" i="7"/>
  <c r="G214" i="7"/>
  <c r="G215" i="7"/>
  <c r="G216" i="7"/>
  <c r="G217" i="7"/>
  <c r="G218" i="7"/>
  <c r="G219" i="7"/>
  <c r="G220" i="7"/>
  <c r="F67" i="7"/>
  <c r="F62" i="7"/>
  <c r="F61" i="7"/>
  <c r="F60" i="7"/>
  <c r="F59" i="7"/>
  <c r="F57" i="7"/>
  <c r="F55" i="7"/>
  <c r="F54" i="7"/>
  <c r="F53" i="7"/>
  <c r="F51" i="7"/>
  <c r="F50" i="7"/>
  <c r="F42" i="7"/>
  <c r="F41" i="7"/>
  <c r="F25" i="7"/>
  <c r="F23" i="7"/>
  <c r="F22" i="7"/>
  <c r="F19" i="7"/>
  <c r="F20" i="7"/>
  <c r="F18" i="7"/>
  <c r="F17" i="7"/>
  <c r="F16" i="7"/>
  <c r="F15" i="7"/>
  <c r="F14" i="7"/>
  <c r="F13" i="7"/>
  <c r="F12" i="7"/>
  <c r="F11" i="7"/>
  <c r="F10" i="7"/>
  <c r="F9" i="7"/>
  <c r="F8" i="7"/>
  <c r="F6" i="7"/>
  <c r="F5" i="7"/>
  <c r="F4" i="7"/>
  <c r="F214" i="7"/>
  <c r="F213" i="7"/>
  <c r="F212" i="7"/>
  <c r="F191" i="7"/>
  <c r="F187" i="7"/>
  <c r="F183" i="7"/>
  <c r="F182" i="7"/>
  <c r="F181" i="7"/>
  <c r="F180" i="7"/>
  <c r="F179" i="7"/>
  <c r="F176" i="7"/>
  <c r="F175" i="7"/>
  <c r="F161" i="7"/>
  <c r="F160" i="7"/>
  <c r="F159" i="7"/>
  <c r="F158" i="7"/>
  <c r="F127" i="7"/>
  <c r="F126" i="7"/>
  <c r="F125" i="7"/>
  <c r="F123" i="7"/>
  <c r="F122" i="7"/>
  <c r="F121" i="7"/>
  <c r="F119" i="7"/>
  <c r="F117" i="7"/>
  <c r="F118" i="7"/>
  <c r="F97" i="7"/>
  <c r="F96" i="7"/>
  <c r="F95" i="7"/>
  <c r="F77" i="7"/>
  <c r="F76" i="7"/>
  <c r="F75" i="7"/>
  <c r="F74" i="7"/>
  <c r="F73" i="7"/>
  <c r="F220" i="7"/>
  <c r="F219" i="7"/>
  <c r="F218" i="7"/>
  <c r="F217" i="7"/>
  <c r="F216" i="7"/>
  <c r="F215" i="7"/>
  <c r="F21" i="7"/>
  <c r="F99" i="7"/>
  <c r="F98" i="7"/>
  <c r="F92" i="7"/>
  <c r="F90" i="7"/>
  <c r="F89" i="7"/>
  <c r="F88" i="7"/>
  <c r="G128" i="7" l="1"/>
  <c r="F128" i="7"/>
  <c r="F69" i="7"/>
  <c r="F114" i="7"/>
  <c r="F221" i="7"/>
  <c r="G221" i="7"/>
  <c r="G69" i="7"/>
  <c r="G114" i="7"/>
  <c r="E170" i="7"/>
  <c r="E161" i="7"/>
  <c r="E121" i="7"/>
  <c r="E128" i="7" s="1"/>
  <c r="E102" i="7"/>
  <c r="E101" i="7"/>
  <c r="E88" i="7"/>
  <c r="E87" i="7"/>
  <c r="E86" i="7"/>
  <c r="E85" i="7"/>
  <c r="E84" i="7"/>
  <c r="E7" i="7"/>
  <c r="E66" i="7"/>
  <c r="E61" i="7"/>
  <c r="E58" i="7"/>
  <c r="G235" i="7" l="1"/>
  <c r="E221" i="7"/>
  <c r="E114" i="7"/>
  <c r="E69" i="7"/>
</calcChain>
</file>

<file path=xl/sharedStrings.xml><?xml version="1.0" encoding="utf-8"?>
<sst xmlns="http://schemas.openxmlformats.org/spreadsheetml/2006/main" count="1080" uniqueCount="491">
  <si>
    <t>Brake Fluid</t>
  </si>
  <si>
    <t>11131407532</t>
  </si>
  <si>
    <t>11120001269</t>
  </si>
  <si>
    <t>OIL + ENGINE COOLANT + Few spare o-rings for possible thermostat &amp; WP installation problems</t>
  </si>
  <si>
    <t>Vanos Refurb/Rebuid:</t>
  </si>
  <si>
    <t>Optional:</t>
  </si>
  <si>
    <t>Upper Timing Cover Gasket Sets</t>
  </si>
  <si>
    <t>Gasket Seal - Lower Timing case</t>
  </si>
  <si>
    <t>O-ring</t>
  </si>
  <si>
    <t>Steel Gasket - Oil Pan Bottom</t>
  </si>
  <si>
    <t>Gasket Ring - Oil Pan Bottom</t>
  </si>
  <si>
    <t>Timing Chain - Timing - Timing Chain Lower P</t>
  </si>
  <si>
    <t>Deflection Rail - Timing - Timing Chain Lower P</t>
  </si>
  <si>
    <t>Guide Rail - Timing - Timing Chain Lower P</t>
  </si>
  <si>
    <t>Chain Tensioner Rail - Timing - Timing Chain Lower P</t>
  </si>
  <si>
    <t>O-ring for 11311407337</t>
  </si>
  <si>
    <t>Hydraulic Chain Tensioner - Timing - Timing Chain Lower P</t>
  </si>
  <si>
    <t>Gasket Ring - Timing - Timing Chain Lower P</t>
  </si>
  <si>
    <t>Chain - Timing Gear / Timimg Chain Top</t>
  </si>
  <si>
    <t>Chain Tensioner - Timing Gear / Timimg Chain Top - Cyl 1-4</t>
  </si>
  <si>
    <t>Chain Tensioner - Timing Gear / Timimg Chain Top - Cyl 5-8</t>
  </si>
  <si>
    <t>Profile Gasket Cyl 1-4 - Cylinder Head Cover</t>
  </si>
  <si>
    <t>Profile Gasket Cyl 5-8 - Cylinder Head Cover</t>
  </si>
  <si>
    <t>BMW Drei Bond 1209 Sealant</t>
  </si>
  <si>
    <t>Rubber Seal - Cylinder Head Cover</t>
  </si>
  <si>
    <t>Steel Gasket - Water Pump</t>
  </si>
  <si>
    <t>Torx Bolt - Belt Drive-Vibration Damper</t>
  </si>
  <si>
    <t>Copper Gasket Ring - VANOS</t>
  </si>
  <si>
    <t>Filister Head Screws - Timing Gear / Timimg Chain Top</t>
  </si>
  <si>
    <t>10.9-Rated Hex Bolts - Timing Gear Timing Chain Top</t>
  </si>
  <si>
    <t>Oil Filter</t>
  </si>
  <si>
    <t>Solenoid O-Rings</t>
  </si>
  <si>
    <t>Cover gasket</t>
  </si>
  <si>
    <t>Diaphragm Spring Sets</t>
  </si>
  <si>
    <t>Washer</t>
  </si>
  <si>
    <t>Lock Ring</t>
  </si>
  <si>
    <t>O-ring - VANOS</t>
  </si>
  <si>
    <t>Filter - 100bar oil regulator valve</t>
  </si>
  <si>
    <t>O-ring - 100bar oil regulator valve</t>
  </si>
  <si>
    <t>NGK BKR6EQUP Laser Platinum</t>
  </si>
  <si>
    <t>Thermostat Housing Gasket</t>
  </si>
  <si>
    <t>Thermostat</t>
  </si>
  <si>
    <t>Genuine BMW Water Pump - steel gasket must be bought separately</t>
  </si>
  <si>
    <t>LASO Water Pump - this package might include the steel gasket /</t>
  </si>
  <si>
    <t>Water Pump Pulley - Old one easily breaks during tear down</t>
  </si>
  <si>
    <t>07119963355</t>
  </si>
  <si>
    <t>07119963151</t>
  </si>
  <si>
    <t>11311406167</t>
  </si>
  <si>
    <t>11311406165</t>
  </si>
  <si>
    <t>11311406166</t>
  </si>
  <si>
    <t>07129952107</t>
  </si>
  <si>
    <t>11120001278</t>
  </si>
  <si>
    <t>11121721879</t>
  </si>
  <si>
    <t>11121437395</t>
  </si>
  <si>
    <t>11511406765</t>
  </si>
  <si>
    <t>11231402618</t>
  </si>
  <si>
    <t>11531710055</t>
  </si>
  <si>
    <t>11531407002</t>
  </si>
  <si>
    <t>11531406249</t>
  </si>
  <si>
    <t>07119963072</t>
  </si>
  <si>
    <t>07119919625</t>
  </si>
  <si>
    <t>07119913589</t>
  </si>
  <si>
    <t>11427510717</t>
  </si>
  <si>
    <t>11367830828</t>
  </si>
  <si>
    <t>11367830829</t>
  </si>
  <si>
    <t>11361406838</t>
  </si>
  <si>
    <t>11367833218</t>
  </si>
  <si>
    <t>11361406944</t>
  </si>
  <si>
    <t>07119934749</t>
  </si>
  <si>
    <t>11311317318</t>
  </si>
  <si>
    <t>11361406377</t>
  </si>
  <si>
    <t>11311317732</t>
  </si>
  <si>
    <t>11361406868</t>
  </si>
  <si>
    <t>11411306082</t>
  </si>
  <si>
    <t>11361401971</t>
  </si>
  <si>
    <t>11311318659</t>
  </si>
  <si>
    <t>11361403325</t>
  </si>
  <si>
    <t>11511406933</t>
  </si>
  <si>
    <t>11511407806</t>
  </si>
  <si>
    <t>11511407113</t>
  </si>
  <si>
    <t>11537835558</t>
  </si>
  <si>
    <t xml:space="preserve">11531312287 </t>
  </si>
  <si>
    <t>Mr Vanos</t>
  </si>
  <si>
    <t>Timing Chains and Guides:</t>
  </si>
  <si>
    <t>elring</t>
  </si>
  <si>
    <t>Rod Bearings</t>
  </si>
  <si>
    <t>O-RING, 15,0X5,0 1.59 3.18 0.56 3.74</t>
  </si>
  <si>
    <t>O-RING, 39,34X2,62MM 2.21 4.42 0.77 5.19</t>
  </si>
  <si>
    <t>O-RING, 38X2,5MM 1.62 3.24 0.57 3.81</t>
  </si>
  <si>
    <t>O-RING, 37X2,5MM 1.29 2.58 0.45 3.03</t>
  </si>
  <si>
    <t>O-RING, 20X2,5MM 1.13 2.26 0.40 2.66</t>
  </si>
  <si>
    <t>O-RING, 18,0X2,5MM 0.70 0.70 0.12 0.82</t>
  </si>
  <si>
    <t>O-RING, 21X2,5MM 0.50 0.50 0.09 0.59</t>
  </si>
  <si>
    <t>OIL PIPE 7.73 7.73 1.35 9.08</t>
  </si>
  <si>
    <t>O-RING, 6,0X2,5 0.50 0.50 0.09 0.59</t>
  </si>
  <si>
    <t>O-RING, 15X4,0MM 2.25 2.25 0.39 2.64</t>
  </si>
  <si>
    <t>O-RING, 22X2 0.83 0.83 0.15 0.98</t>
  </si>
  <si>
    <t>BEARING SHELL, BLUE, 49,00MM(0) 8.16 65.28 11.42 76.70</t>
  </si>
  <si>
    <t>BEARING SHELL, RED, 49,00MM(0) 8.16 65.28 11.42 76.70</t>
  </si>
  <si>
    <t>CONNECTING ROD BOLT 2.91 46.56 8.15 54.71</t>
  </si>
  <si>
    <t>CHAIN TENSIONER 5.33 5.33 0.93 6.26</t>
  </si>
  <si>
    <t>CIRCLIP, 6,0 0.08 0.08 0.01 0.09</t>
  </si>
  <si>
    <t>GASKET RING, A14X18-CU 0.08 0.32 0.06 0.38</t>
  </si>
  <si>
    <t>GASKET RING, A12X15-CU 0.07 0.28 0.05 0.33</t>
  </si>
  <si>
    <t>HEX BOLT, M12X1,5X107-8.8 1.32 2.64 0.46 3.10</t>
  </si>
  <si>
    <t>HEX BOLT WITH WASHER, M12X1,5X75-8.8 0.99 1.98 0.35 2.33</t>
  </si>
  <si>
    <t>HEX BOLT WITH WASHER, M12X1,5X50-8.8 0.80 1.60 0.28 1.88</t>
  </si>
  <si>
    <t>SELF-LOCKING COLLAR NUT, M14X1,5-10 ZNS3 0.67 1.34 0.23 1.57</t>
  </si>
  <si>
    <t>SELF-LOCKING COLLAR NUT, M12X1,5-10 ZNS3 0.30 0.60 0.11 0.71</t>
  </si>
  <si>
    <t>HEX NUT WITH FLANGE, M10-10 ZNS3 0.36 0.72 0.13 0.85</t>
  </si>
  <si>
    <t>SELF-LOCKING HEX NUT, M10 0.38 0.76 0.13 0.89</t>
  </si>
  <si>
    <t>INNER HEX BOLT, M10 0.75 0.75 0.13 0.88</t>
  </si>
  <si>
    <t>SELF-LOCKING HEX NUT, M10 0.10 0.10 0.02 0.12</t>
  </si>
  <si>
    <t>COLLAR SCREW, M10X75 1.40 1.40 0.25 1.65</t>
  </si>
  <si>
    <t>SELF-LOCKING HEX NUT, M10 0.38 0.38 0.07 0.45</t>
  </si>
  <si>
    <t>11431707164</t>
  </si>
  <si>
    <t>11137830114</t>
  </si>
  <si>
    <t>11137830113</t>
  </si>
  <si>
    <t>11137830112</t>
  </si>
  <si>
    <t>11441406693</t>
  </si>
  <si>
    <t>11421741129</t>
  </si>
  <si>
    <t>11421406872</t>
  </si>
  <si>
    <t>11131406864</t>
  </si>
  <si>
    <t>11421713597</t>
  </si>
  <si>
    <t>11421407015</t>
  </si>
  <si>
    <t>11411304178</t>
  </si>
  <si>
    <t>11241407493</t>
  </si>
  <si>
    <t>11241407492</t>
  </si>
  <si>
    <t>11241405890</t>
  </si>
  <si>
    <t>11411407056</t>
  </si>
  <si>
    <t>07119932842</t>
  </si>
  <si>
    <t>07119963201</t>
  </si>
  <si>
    <t>07119963129</t>
  </si>
  <si>
    <t>31121092167</t>
  </si>
  <si>
    <t>31121093462</t>
  </si>
  <si>
    <t>31121092165</t>
  </si>
  <si>
    <t>33306760349</t>
  </si>
  <si>
    <t>33326760668</t>
  </si>
  <si>
    <t>33306760587</t>
  </si>
  <si>
    <t>32201092453</t>
  </si>
  <si>
    <t>32201142083</t>
  </si>
  <si>
    <t>07129964672</t>
  </si>
  <si>
    <t>32201092452</t>
  </si>
  <si>
    <t>AC O-rings</t>
  </si>
  <si>
    <t>Power steering O-rings</t>
  </si>
  <si>
    <t>E60 545i shifter/UUC DSSR</t>
  </si>
  <si>
    <t xml:space="preserve">11121721939 </t>
  </si>
  <si>
    <t>11141275466</t>
  </si>
  <si>
    <t>11140001186</t>
  </si>
  <si>
    <t>Elring/ebay</t>
  </si>
  <si>
    <t>11140001187</t>
  </si>
  <si>
    <t>11311407052</t>
  </si>
  <si>
    <t>11311407337</t>
  </si>
  <si>
    <t>11311406280</t>
  </si>
  <si>
    <t>11311406261</t>
  </si>
  <si>
    <t>Fuel Filter</t>
  </si>
  <si>
    <t>07589062376</t>
  </si>
  <si>
    <t>Clutch kit</t>
  </si>
  <si>
    <t>Luk</t>
  </si>
  <si>
    <t>Shifter Fork Pivot Pin</t>
  </si>
  <si>
    <t>AGA-CPP-223-328</t>
  </si>
  <si>
    <t>All German Auto</t>
  </si>
  <si>
    <t>Pilot bearing</t>
  </si>
  <si>
    <t>F.A.G.</t>
  </si>
  <si>
    <t>Dual-mass flywheel</t>
  </si>
  <si>
    <t>14.5mm Dowel Sleeve</t>
  </si>
  <si>
    <t>Genuine BMW</t>
  </si>
  <si>
    <t>Dowel Pin</t>
  </si>
  <si>
    <t>Clutch line</t>
  </si>
  <si>
    <t>Leather shift knob</t>
  </si>
  <si>
    <t>Crankshaft</t>
  </si>
  <si>
    <t>Genuine BMW, used</t>
  </si>
  <si>
    <t>Crankcase main bearings</t>
  </si>
  <si>
    <t>Thrust bearing, lower</t>
  </si>
  <si>
    <t>Thrust bearing, upper</t>
  </si>
  <si>
    <t>Main bearings, yellow, all  journals</t>
  </si>
  <si>
    <t>Bearing caps E12 bolts</t>
  </si>
  <si>
    <t>Bearing caps collar bolts</t>
  </si>
  <si>
    <t>Harmonic Balancer Bolts</t>
  </si>
  <si>
    <t>Crankshaft Locking Pin</t>
  </si>
  <si>
    <t>Camshaft Locking Pin</t>
  </si>
  <si>
    <t>8mm Drill Bits</t>
  </si>
  <si>
    <t>Migiwata</t>
  </si>
  <si>
    <t>Fan clutch</t>
  </si>
  <si>
    <t>Mahle-Behr</t>
  </si>
  <si>
    <t>Fan blades</t>
  </si>
  <si>
    <t>Crank position sensor</t>
  </si>
  <si>
    <t>OEM</t>
  </si>
  <si>
    <t>Exhaust gaskets</t>
  </si>
  <si>
    <t>Elring</t>
  </si>
  <si>
    <t>Exhaust gasket (3, 4)</t>
  </si>
  <si>
    <t>Victor Reinz</t>
  </si>
  <si>
    <t>Exhaust head stud nuts</t>
  </si>
  <si>
    <t>Exhaust head studs</t>
  </si>
  <si>
    <t>Sway bar bushings</t>
  </si>
  <si>
    <t>Front main seal</t>
  </si>
  <si>
    <t>Rear main seal</t>
  </si>
  <si>
    <t>RMS Flange gasket</t>
  </si>
  <si>
    <t>Rear coolant gasket</t>
  </si>
  <si>
    <t>Valve cover powder coating</t>
  </si>
  <si>
    <t>Front timing case repair</t>
  </si>
  <si>
    <t>Machine shop - cleaning + short block reassembly</t>
  </si>
  <si>
    <t>Vanos seals Beisan systems</t>
  </si>
  <si>
    <t>BS061.2</t>
  </si>
  <si>
    <t>Beisan Systems</t>
  </si>
  <si>
    <t>Solenoid O-rings, Big</t>
  </si>
  <si>
    <t>Solenoid O-rings, Small</t>
  </si>
  <si>
    <t>Solenoid Cover Gasket</t>
  </si>
  <si>
    <t>Vanos central oil line to Vanos (3 sets)</t>
  </si>
  <si>
    <t>Accumulator crush washers (2 sets)</t>
  </si>
  <si>
    <t>Vanos Removal Bolts</t>
  </si>
  <si>
    <t>Vanos hub to cam</t>
  </si>
  <si>
    <t>Special tool Vanos bolts</t>
  </si>
  <si>
    <t>Vanos diaphragm springs</t>
  </si>
  <si>
    <t>Vanos Washer</t>
  </si>
  <si>
    <t>Vanos lock ring</t>
  </si>
  <si>
    <t>Stainless Brake Hoses</t>
  </si>
  <si>
    <t>E393430KIT</t>
  </si>
  <si>
    <t>ECS Tuning</t>
  </si>
  <si>
    <t>RBF600</t>
  </si>
  <si>
    <t>Motul</t>
  </si>
  <si>
    <t>Left tie rod</t>
  </si>
  <si>
    <t>Lemforder</t>
  </si>
  <si>
    <t>Right tie rod</t>
  </si>
  <si>
    <t>Tie rod fasteners</t>
  </si>
  <si>
    <t>OFH Line o-rings, 1</t>
  </si>
  <si>
    <t>OFH Line o-rings, 2</t>
  </si>
  <si>
    <t>OFH return line crush washers, 1</t>
  </si>
  <si>
    <t>OFH return line crush washers, 2</t>
  </si>
  <si>
    <t>Oil Filter Housing Mounts</t>
  </si>
  <si>
    <t>4403K59</t>
  </si>
  <si>
    <t>McMaster-Carr</t>
  </si>
  <si>
    <t>Large T-stat O-rings</t>
  </si>
  <si>
    <t>Small T-stat O-rings</t>
  </si>
  <si>
    <t>block drain crush washers 2</t>
  </si>
  <si>
    <t>water pump</t>
  </si>
  <si>
    <t>Laso</t>
  </si>
  <si>
    <t>water pump gasket</t>
  </si>
  <si>
    <t>cyclonic separator drain hose, bank 1</t>
  </si>
  <si>
    <t>cyclonic separator drain hose, bank 2</t>
  </si>
  <si>
    <t>cyclonic separator drain hose clamps</t>
  </si>
  <si>
    <t>cyclonic separator drain o ring (upper sump)</t>
  </si>
  <si>
    <t>SAI Vacuum Lines, Ref 2</t>
  </si>
  <si>
    <t>Ref 3</t>
  </si>
  <si>
    <t>Pierburg</t>
  </si>
  <si>
    <t>Ref 4, 6</t>
  </si>
  <si>
    <t>CRP</t>
  </si>
  <si>
    <t>Ref 5, 9</t>
  </si>
  <si>
    <t>Ref 7</t>
  </si>
  <si>
    <t>Ref 8</t>
  </si>
  <si>
    <t>Ref 10</t>
  </si>
  <si>
    <t>Lower plenum Center drain hose</t>
  </si>
  <si>
    <t>Under-plenum Crush Washer</t>
  </si>
  <si>
    <t>Hose below 3 port vanos oil line</t>
  </si>
  <si>
    <t>Hose clamps</t>
  </si>
  <si>
    <t>TB to Head O-rings</t>
  </si>
  <si>
    <t>ICV O-rings</t>
  </si>
  <si>
    <t>ICV Hose clamps</t>
  </si>
  <si>
    <t>ICV Pipe 1</t>
  </si>
  <si>
    <t>ICV Pipe 2</t>
  </si>
  <si>
    <t>ICV Pipe 3</t>
  </si>
  <si>
    <t>ICV Pipe 4</t>
  </si>
  <si>
    <t>ICV Hose</t>
  </si>
  <si>
    <t>ICV Hose connector</t>
  </si>
  <si>
    <t>Fuel tank vent 90º fitting</t>
  </si>
  <si>
    <t>Fuel return hose</t>
  </si>
  <si>
    <t>Fuel return hose clamps</t>
  </si>
  <si>
    <t>O-rings on the thing in front of the central valley heat exchanger</t>
  </si>
  <si>
    <t>Central valley heat exchanger, 3 O-rings</t>
  </si>
  <si>
    <t>head gasket, bank 1</t>
  </si>
  <si>
    <t>head gasket, bank 2</t>
  </si>
  <si>
    <t>Upper timing chain tensioner bank 1</t>
  </si>
  <si>
    <t>Upper timing chain tensioner alignment dowel</t>
  </si>
  <si>
    <t>Upper timing chain tensioner o-ring</t>
  </si>
  <si>
    <t>Upper timing chain tensioner bank 2</t>
  </si>
  <si>
    <t>Bank 1 Chain Tensioner Rail</t>
  </si>
  <si>
    <t>U guide</t>
  </si>
  <si>
    <t>Bank 2 Chain Guide</t>
  </si>
  <si>
    <t>Bank 2 Chain Guide Bolts</t>
  </si>
  <si>
    <t>Bank 2 Chain Guide Washer</t>
  </si>
  <si>
    <t>Main chain tensioner</t>
  </si>
  <si>
    <t>INA</t>
  </si>
  <si>
    <t>Main chain tensioner crush washer</t>
  </si>
  <si>
    <t>VCG, bank 1</t>
  </si>
  <si>
    <t>VCG, bank 2</t>
  </si>
  <si>
    <t>VCG Grommets, front</t>
  </si>
  <si>
    <t>VCG Grommets, rear</t>
  </si>
  <si>
    <t>Sealant</t>
  </si>
  <si>
    <t>Corteco</t>
  </si>
  <si>
    <t>Plenum o-rings</t>
  </si>
  <si>
    <t>Oil check valves</t>
  </si>
  <si>
    <t>Oil check valve spacer</t>
  </si>
  <si>
    <t>Upper timing chains</t>
  </si>
  <si>
    <t>Iwis</t>
  </si>
  <si>
    <t>Lower timing case gaskets</t>
  </si>
  <si>
    <t>upper timing cover gaskets</t>
  </si>
  <si>
    <t>Main timing chain</t>
  </si>
  <si>
    <t>Exhaust clamps</t>
  </si>
  <si>
    <t>H.J. Schulte</t>
  </si>
  <si>
    <t>Intake cam PS</t>
  </si>
  <si>
    <t>Exhaust cam PS</t>
  </si>
  <si>
    <t>SAI Hose</t>
  </si>
  <si>
    <t>SAI One Way Valve Gasket</t>
  </si>
  <si>
    <t>Billet Power Steering Reservoir</t>
  </si>
  <si>
    <t>AGA-PSR-6061-228-855</t>
  </si>
  <si>
    <t>PS Reservoir Vent Kit</t>
  </si>
  <si>
    <t>AGA-PSK-VK</t>
  </si>
  <si>
    <t>Valley coolant pipe gaskets</t>
  </si>
  <si>
    <t>Valley coolant pipe rear heater core hoses</t>
  </si>
  <si>
    <t>Heater hose</t>
  </si>
  <si>
    <t>Elaplast</t>
  </si>
  <si>
    <t>Heater hose 2</t>
  </si>
  <si>
    <t>Valley coolant pipe rear heater core hoses clamps</t>
  </si>
  <si>
    <t>Central Valley heater return pipe o-ring</t>
  </si>
  <si>
    <t>WP to Exp. Tank hose</t>
  </si>
  <si>
    <t>WP to Exp. Tank clamps</t>
  </si>
  <si>
    <t>Steering box, Crush Washers</t>
  </si>
  <si>
    <t>Driveshaft Butyl Tape</t>
  </si>
  <si>
    <t>Fuel injector service</t>
  </si>
  <si>
    <t>VAC-FIS-8</t>
  </si>
  <si>
    <t>VAC Motorsports</t>
  </si>
  <si>
    <t>AC O-rings (compressor to condenser)</t>
  </si>
  <si>
    <t>Rein</t>
  </si>
  <si>
    <t>AC Dryer</t>
  </si>
  <si>
    <t>Behr</t>
  </si>
  <si>
    <t>PS Cooler line o-rings</t>
  </si>
  <si>
    <t>Transmission mounts</t>
  </si>
  <si>
    <t>Trans mount nut, upper</t>
  </si>
  <si>
    <t>Trans mount nut, lower</t>
  </si>
  <si>
    <t>Pressure plate bolts</t>
  </si>
  <si>
    <t>Clutch Pivot Pin</t>
  </si>
  <si>
    <t>Spring Clip</t>
  </si>
  <si>
    <t>Engine mount o-rings</t>
  </si>
  <si>
    <t>LUK</t>
  </si>
  <si>
    <t>Head Gaskets</t>
  </si>
  <si>
    <t>Beisan Systems?</t>
  </si>
  <si>
    <t xml:space="preserve">Elring </t>
  </si>
  <si>
    <t>Shaft seal - Lower Timing Case, FMS</t>
  </si>
  <si>
    <t>Iwis (Iwisketten)</t>
  </si>
  <si>
    <t>11141736758</t>
  </si>
  <si>
    <t>11611312737</t>
  </si>
  <si>
    <t>11727545323</t>
  </si>
  <si>
    <t>O-ring for Water Pump, Central Valley heater return pipe</t>
  </si>
  <si>
    <t>O-ring - Lubrication System Engine Oil Cooling, T-stat - small</t>
  </si>
  <si>
    <t>O-ring - Cooling System, T-stat - large</t>
  </si>
  <si>
    <t>11127833733</t>
  </si>
  <si>
    <t>13627839138</t>
  </si>
  <si>
    <t>NGK</t>
  </si>
  <si>
    <t>Victor Reinz Schmeidmann</t>
  </si>
  <si>
    <t>Schmeidmann</t>
  </si>
  <si>
    <t>11627505789</t>
  </si>
  <si>
    <t>11627509677</t>
  </si>
  <si>
    <t>11141710247</t>
  </si>
  <si>
    <t>11141736521</t>
  </si>
  <si>
    <t>07119963225</t>
  </si>
  <si>
    <t>12120037607</t>
  </si>
  <si>
    <t>07119963042</t>
  </si>
  <si>
    <t>07129905554</t>
  </si>
  <si>
    <t>07129903807</t>
  </si>
  <si>
    <t>07129904862</t>
  </si>
  <si>
    <t>07119906045</t>
  </si>
  <si>
    <t>07129908157</t>
  </si>
  <si>
    <t>07129952113</t>
  </si>
  <si>
    <t>07129952104</t>
  </si>
  <si>
    <t>07119904199</t>
  </si>
  <si>
    <t>17417505109</t>
  </si>
  <si>
    <t>64508374959</t>
  </si>
  <si>
    <t>64538377330</t>
  </si>
  <si>
    <t>17211742636</t>
  </si>
  <si>
    <t>22316771221</t>
  </si>
  <si>
    <t>21217515146</t>
  </si>
  <si>
    <t>11211720310</t>
  </si>
  <si>
    <t>21212229190</t>
  </si>
  <si>
    <t>25117546373</t>
  </si>
  <si>
    <t>25111220600</t>
  </si>
  <si>
    <t>25117571899</t>
  </si>
  <si>
    <t>E60 shift bushing</t>
  </si>
  <si>
    <t>E60 shift circlip</t>
  </si>
  <si>
    <t>S62 Engine Parts</t>
  </si>
  <si>
    <t>Nate Jones List - E39Source</t>
  </si>
  <si>
    <t>11211407796</t>
  </si>
  <si>
    <t>hypertech bonneybridge</t>
  </si>
  <si>
    <t>Injector cleaning;</t>
  </si>
  <si>
    <t>07119905695</t>
  </si>
  <si>
    <t>Clip</t>
  </si>
  <si>
    <t>11411406226</t>
  </si>
  <si>
    <t>Sprocket</t>
  </si>
  <si>
    <t>11417549652</t>
  </si>
  <si>
    <t>Hex nut</t>
  </si>
  <si>
    <t>07129904217</t>
  </si>
  <si>
    <t>07119901299</t>
  </si>
  <si>
    <t>Body Nut</t>
  </si>
  <si>
    <t>Splash guard bolt</t>
  </si>
  <si>
    <t>33121213949</t>
  </si>
  <si>
    <t>33121205138</t>
  </si>
  <si>
    <t>83222365988</t>
  </si>
  <si>
    <t>Diff input Shaft Seal</t>
  </si>
  <si>
    <t>Lock plate</t>
  </si>
  <si>
    <t>Final Drive</t>
  </si>
  <si>
    <t>Brake Servo Pipe</t>
  </si>
  <si>
    <t>34302229632</t>
  </si>
  <si>
    <t>11117628302</t>
  </si>
  <si>
    <t xml:space="preserve">Collar Screw </t>
  </si>
  <si>
    <t>Head Bolts Kit</t>
  </si>
  <si>
    <t>11537634204</t>
  </si>
  <si>
    <t>Douglas Park
 Incl.VAT</t>
  </si>
  <si>
    <t>11127833734</t>
  </si>
  <si>
    <t>Best Option</t>
  </si>
  <si>
    <t>HEAD Gasket Cyl 1-4 - Cylinder Head BANK 1</t>
  </si>
  <si>
    <t>HEAD Gasket Cyl 5-8 - Cylinder Head BANK 2</t>
  </si>
  <si>
    <t>Engine Mount with Flange Left</t>
  </si>
  <si>
    <t>22111092895</t>
  </si>
  <si>
    <t>22111092896</t>
  </si>
  <si>
    <t>Engine Mount with Flange Right</t>
  </si>
  <si>
    <t xml:space="preserve">13321407299 </t>
  </si>
  <si>
    <t>11781742051</t>
  </si>
  <si>
    <t>Oxygen/lambda sensors</t>
  </si>
  <si>
    <t>34336785926</t>
  </si>
  <si>
    <t>34336797650</t>
  </si>
  <si>
    <t>E65 Brake master cylinder upgrade - option 1</t>
  </si>
  <si>
    <t>E65 Brake master cylinder upgrade - option 2</t>
  </si>
  <si>
    <t>NOTES:</t>
  </si>
  <si>
    <t>Part number</t>
  </si>
  <si>
    <t>Qty</t>
  </si>
  <si>
    <t>Description</t>
  </si>
  <si>
    <t xml:space="preserve">Possible Source </t>
  </si>
  <si>
    <t xml:space="preserve">Internet Cost </t>
  </si>
  <si>
    <t>dynatune EK</t>
  </si>
  <si>
    <t>Supertune cumbernauld</t>
  </si>
  <si>
    <t>EK Blast &amp; coating</t>
  </si>
  <si>
    <t>11321748884</t>
  </si>
  <si>
    <t xml:space="preserve">Genuine BMW </t>
  </si>
  <si>
    <t>ebay</t>
  </si>
  <si>
    <t>21511223328</t>
  </si>
  <si>
    <t>17417504732</t>
  </si>
  <si>
    <t>E65 Fan clutch</t>
  </si>
  <si>
    <t>E65 Fan blades</t>
  </si>
  <si>
    <t>Hydraulic Lifters (OE brand INA)</t>
  </si>
  <si>
    <t>23127501582</t>
  </si>
  <si>
    <t>23121222769</t>
  </si>
  <si>
    <t>Gearbox Shaft seal #8</t>
  </si>
  <si>
    <t>Gearbox Shaft Seal #7</t>
  </si>
  <si>
    <t>23111222722</t>
  </si>
  <si>
    <t>Gearbox Guide Bush</t>
  </si>
  <si>
    <t>Gearbox Shaft seal #3</t>
  </si>
  <si>
    <t>23121228493</t>
  </si>
  <si>
    <t>25111220439</t>
  </si>
  <si>
    <t>25117580281</t>
  </si>
  <si>
    <t>Gearshift rod joint</t>
  </si>
  <si>
    <t>25111222451</t>
  </si>
  <si>
    <t>25111434194</t>
  </si>
  <si>
    <t>Gearshift plastic washer #5</t>
  </si>
  <si>
    <t>Gearshift plastic washer #9</t>
  </si>
  <si>
    <t>23411466134</t>
  </si>
  <si>
    <t>Gearshift Dowel Pin</t>
  </si>
  <si>
    <t>25111222375</t>
  </si>
  <si>
    <t>25117507695</t>
  </si>
  <si>
    <t>25111222652</t>
  </si>
  <si>
    <t>Gearshift bolt #12</t>
  </si>
  <si>
    <t>Gearshift bush bearing oval</t>
  </si>
  <si>
    <t>Gearshift bearing shifting arm</t>
  </si>
  <si>
    <t>11211736881</t>
  </si>
  <si>
    <t>11221709069</t>
  </si>
  <si>
    <t>21526751171</t>
  </si>
  <si>
    <t>83222339219</t>
  </si>
  <si>
    <t>Gearbox Oil</t>
  </si>
  <si>
    <t>Rein - FCP EURO</t>
  </si>
  <si>
    <t>Lemforder - Autodoc</t>
  </si>
  <si>
    <t>SIXSHOP - ebay</t>
  </si>
  <si>
    <t>Elring - Autodoc</t>
  </si>
  <si>
    <t xml:space="preserve">Source </t>
  </si>
  <si>
    <t xml:space="preserve">LUK </t>
  </si>
  <si>
    <t>LUK - Rockauto</t>
  </si>
  <si>
    <t>Powder coating / aquablasting</t>
  </si>
  <si>
    <t>Postage to Mr Vanos</t>
  </si>
  <si>
    <t>Parcelforce FWBY5493214GB</t>
  </si>
  <si>
    <t>Final Drive oil</t>
  </si>
  <si>
    <t>11141405969</t>
  </si>
  <si>
    <t>Genuine BMW FCPEuro</t>
  </si>
  <si>
    <t>Victor Reinz FCPEuro</t>
  </si>
  <si>
    <t>Transmission:</t>
  </si>
  <si>
    <t>Vanos Refurb/Rebuild (£200 off due to delay)</t>
  </si>
  <si>
    <r>
      <t xml:space="preserve">Laso - </t>
    </r>
    <r>
      <rPr>
        <sz val="11"/>
        <color rgb="FF0070C0"/>
        <rFont val="Calibri"/>
        <family val="2"/>
        <scheme val="minor"/>
      </rPr>
      <t>GEBA NOT LASO</t>
    </r>
  </si>
  <si>
    <t>13411406829</t>
  </si>
  <si>
    <t>13417830412</t>
  </si>
  <si>
    <t>11727837592</t>
  </si>
  <si>
    <t>11127583115</t>
  </si>
  <si>
    <t>Correct head bolts kit part number</t>
  </si>
  <si>
    <t xml:space="preserve">11521712110 </t>
  </si>
  <si>
    <t>11527830486</t>
  </si>
  <si>
    <t>Head Bolts Kit - WRONG PART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</si>
</sst>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£&quot;#,##0.0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70C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0" xfId="0" applyFill="1"/>
    <xf numFmtId="0" fontId="0" fillId="0" borderId="0" xfId="0" applyBorder="1"/>
    <xf numFmtId="0" fontId="0" fillId="0" borderId="1" xfId="0" applyBorder="1"/>
    <xf numFmtId="49" fontId="0" fillId="0" borderId="1" xfId="0" applyNumberFormat="1" applyBorder="1"/>
    <xf numFmtId="49" fontId="0" fillId="0" borderId="1" xfId="0" quotePrefix="1" applyNumberFormat="1" applyBorder="1"/>
    <xf numFmtId="49" fontId="0" fillId="0" borderId="0" xfId="0" applyNumberFormat="1"/>
    <xf numFmtId="164" fontId="0" fillId="0" borderId="1" xfId="0" applyNumberFormat="1" applyFill="1" applyBorder="1"/>
    <xf numFmtId="49" fontId="0" fillId="0" borderId="0" xfId="0" applyNumberFormat="1" applyBorder="1"/>
    <xf numFmtId="0" fontId="0" fillId="0" borderId="5" xfId="0" applyBorder="1"/>
    <xf numFmtId="49" fontId="0" fillId="3" borderId="1" xfId="0" applyNumberFormat="1" applyFill="1" applyBorder="1"/>
    <xf numFmtId="0" fontId="0" fillId="0" borderId="1" xfId="0" applyBorder="1" applyAlignment="1">
      <alignment wrapText="1"/>
    </xf>
    <xf numFmtId="164" fontId="0" fillId="2" borderId="1" xfId="0" applyNumberFormat="1" applyFill="1" applyBorder="1"/>
    <xf numFmtId="0" fontId="0" fillId="0" borderId="1" xfId="0" applyNumberFormat="1" applyFill="1" applyBorder="1"/>
    <xf numFmtId="49" fontId="0" fillId="0" borderId="1" xfId="0" applyNumberFormat="1" applyBorder="1" applyAlignment="1">
      <alignment wrapText="1"/>
    </xf>
    <xf numFmtId="49" fontId="0" fillId="4" borderId="1" xfId="0" applyNumberFormat="1" applyFill="1" applyBorder="1"/>
    <xf numFmtId="49" fontId="0" fillId="0" borderId="1" xfId="0" applyNumberFormat="1" applyFill="1" applyBorder="1"/>
    <xf numFmtId="0" fontId="0" fillId="0" borderId="1" xfId="0" applyFill="1" applyBorder="1"/>
    <xf numFmtId="49" fontId="0" fillId="5" borderId="1" xfId="0" applyNumberFormat="1" applyFill="1" applyBorder="1"/>
    <xf numFmtId="49" fontId="0" fillId="2" borderId="1" xfId="0" applyNumberFormat="1" applyFill="1" applyBorder="1"/>
    <xf numFmtId="0" fontId="0" fillId="2" borderId="1" xfId="0" applyFill="1" applyBorder="1"/>
    <xf numFmtId="0" fontId="0" fillId="2" borderId="1" xfId="0" applyNumberFormat="1" applyFill="1" applyBorder="1"/>
    <xf numFmtId="49" fontId="0" fillId="2" borderId="1" xfId="0" quotePrefix="1" applyNumberFormat="1" applyFill="1" applyBorder="1"/>
    <xf numFmtId="164" fontId="0" fillId="4" borderId="1" xfId="0" applyNumberFormat="1" applyFill="1" applyBorder="1"/>
    <xf numFmtId="0" fontId="0" fillId="5" borderId="1" xfId="0" applyFill="1" applyBorder="1"/>
    <xf numFmtId="164" fontId="1" fillId="2" borderId="1" xfId="0" applyNumberFormat="1" applyFont="1" applyFill="1" applyBorder="1"/>
    <xf numFmtId="164" fontId="0" fillId="5" borderId="1" xfId="0" applyNumberFormat="1" applyFill="1" applyBorder="1"/>
    <xf numFmtId="49" fontId="0" fillId="0" borderId="3" xfId="0" applyNumberFormat="1" applyBorder="1" applyAlignment="1"/>
    <xf numFmtId="49" fontId="0" fillId="0" borderId="4" xfId="0" applyNumberFormat="1" applyBorder="1" applyAlignment="1"/>
    <xf numFmtId="0" fontId="0" fillId="0" borderId="0" xfId="0" applyFill="1" applyBorder="1"/>
    <xf numFmtId="0" fontId="0" fillId="0" borderId="0" xfId="0" applyFill="1"/>
    <xf numFmtId="0" fontId="0" fillId="5" borderId="0" xfId="0" applyFill="1" applyBorder="1"/>
    <xf numFmtId="0" fontId="0" fillId="5" borderId="0" xfId="0" applyFill="1"/>
    <xf numFmtId="164" fontId="0" fillId="3" borderId="1" xfId="0" applyNumberFormat="1" applyFill="1" applyBorder="1"/>
    <xf numFmtId="49" fontId="0" fillId="0" borderId="2" xfId="0" applyNumberFormat="1" applyBorder="1" applyAlignment="1">
      <alignment horizontal="center"/>
    </xf>
    <xf numFmtId="49" fontId="0" fillId="0" borderId="3" xfId="0" applyNumberFormat="1" applyBorder="1" applyAlignment="1">
      <alignment horizontal="center"/>
    </xf>
    <xf numFmtId="49" fontId="0" fillId="0" borderId="4" xfId="0" applyNumberFormat="1" applyBorder="1" applyAlignment="1">
      <alignment horizontal="center"/>
    </xf>
    <xf numFmtId="49" fontId="0" fillId="0" borderId="6" xfId="0" applyNumberFormat="1" applyBorder="1" applyAlignment="1">
      <alignment horizontal="center"/>
    </xf>
    <xf numFmtId="49" fontId="0" fillId="0" borderId="7" xfId="0" applyNumberFormat="1" applyBorder="1" applyAlignment="1">
      <alignment horizontal="center"/>
    </xf>
    <xf numFmtId="49" fontId="0" fillId="0" borderId="8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7"/>
  <sheetViews>
    <sheetView view="pageBreakPreview" topLeftCell="A22" zoomScaleNormal="100" zoomScaleSheetLayoutView="100" workbookViewId="0">
      <selection activeCell="E168" sqref="E168:E169"/>
    </sheetView>
  </sheetViews>
  <sheetFormatPr defaultRowHeight="14.4" x14ac:dyDescent="0.55000000000000004"/>
  <cols>
    <col min="1" max="1" width="22.47265625" style="6" bestFit="1" customWidth="1"/>
    <col min="3" max="3" width="58.734375" bestFit="1" customWidth="1"/>
    <col min="4" max="4" width="23.1015625" bestFit="1" customWidth="1"/>
    <col min="5" max="5" width="13.89453125" bestFit="1" customWidth="1"/>
    <col min="6" max="6" width="13.7890625" bestFit="1" customWidth="1"/>
    <col min="7" max="7" width="13.26171875" customWidth="1"/>
  </cols>
  <sheetData>
    <row r="1" spans="1:8" ht="28" customHeight="1" x14ac:dyDescent="0.55000000000000004">
      <c r="A1" s="34" t="s">
        <v>378</v>
      </c>
      <c r="B1" s="35"/>
      <c r="C1" s="35"/>
      <c r="D1" s="35"/>
      <c r="E1" s="35"/>
      <c r="F1" s="35"/>
      <c r="G1" s="36"/>
      <c r="H1" s="2"/>
    </row>
    <row r="2" spans="1:8" ht="28" customHeight="1" x14ac:dyDescent="0.55000000000000004">
      <c r="A2" s="3" t="s">
        <v>422</v>
      </c>
      <c r="B2" s="3" t="s">
        <v>423</v>
      </c>
      <c r="C2" s="3" t="s">
        <v>424</v>
      </c>
      <c r="D2" s="3" t="s">
        <v>425</v>
      </c>
      <c r="E2" s="11" t="s">
        <v>426</v>
      </c>
      <c r="F2" s="11" t="s">
        <v>405</v>
      </c>
      <c r="G2" s="3" t="s">
        <v>407</v>
      </c>
      <c r="H2" s="2"/>
    </row>
    <row r="3" spans="1:8" x14ac:dyDescent="0.55000000000000004">
      <c r="A3" s="15" t="s">
        <v>83</v>
      </c>
      <c r="B3" s="3"/>
      <c r="C3" s="3"/>
      <c r="D3" s="3"/>
      <c r="E3" s="3"/>
      <c r="F3" s="3"/>
      <c r="G3" s="3"/>
      <c r="H3" s="2"/>
    </row>
    <row r="4" spans="1:8" x14ac:dyDescent="0.55000000000000004">
      <c r="A4" s="19" t="s">
        <v>147</v>
      </c>
      <c r="B4" s="3">
        <v>1</v>
      </c>
      <c r="C4" s="3" t="s">
        <v>337</v>
      </c>
      <c r="D4" s="3" t="s">
        <v>189</v>
      </c>
      <c r="E4" s="12">
        <v>7.67</v>
      </c>
      <c r="F4" s="7">
        <f>18.14*1.2</f>
        <v>21.768000000000001</v>
      </c>
      <c r="G4" s="7">
        <f>E4</f>
        <v>7.67</v>
      </c>
      <c r="H4" s="2"/>
    </row>
    <row r="5" spans="1:8" x14ac:dyDescent="0.55000000000000004">
      <c r="A5" s="19" t="s">
        <v>148</v>
      </c>
      <c r="B5" s="3">
        <v>2</v>
      </c>
      <c r="C5" s="3" t="s">
        <v>6</v>
      </c>
      <c r="D5" s="3" t="s">
        <v>191</v>
      </c>
      <c r="E5" s="7">
        <v>13.12</v>
      </c>
      <c r="F5" s="12">
        <f>16.2*1.2</f>
        <v>19.439999999999998</v>
      </c>
      <c r="G5" s="7">
        <f>16.2*1.2</f>
        <v>19.439999999999998</v>
      </c>
      <c r="H5" s="2"/>
    </row>
    <row r="6" spans="1:8" x14ac:dyDescent="0.55000000000000004">
      <c r="A6" s="19" t="s">
        <v>150</v>
      </c>
      <c r="B6" s="3">
        <v>1</v>
      </c>
      <c r="C6" s="17" t="s">
        <v>7</v>
      </c>
      <c r="D6" s="17" t="s">
        <v>479</v>
      </c>
      <c r="E6" s="12">
        <v>28.82</v>
      </c>
      <c r="F6" s="7">
        <f>14.85*1.2</f>
        <v>17.82</v>
      </c>
      <c r="G6" s="7">
        <f>E6</f>
        <v>28.82</v>
      </c>
      <c r="H6" s="2"/>
    </row>
    <row r="7" spans="1:8" x14ac:dyDescent="0.55000000000000004">
      <c r="A7" s="4" t="s">
        <v>115</v>
      </c>
      <c r="B7" s="3">
        <v>2</v>
      </c>
      <c r="C7" s="3" t="s">
        <v>8</v>
      </c>
      <c r="D7" s="3" t="s">
        <v>191</v>
      </c>
      <c r="E7" s="7">
        <f>3.11*2</f>
        <v>6.22</v>
      </c>
      <c r="F7" s="7"/>
      <c r="G7" s="7"/>
      <c r="H7" s="2"/>
    </row>
    <row r="8" spans="1:8" x14ac:dyDescent="0.55000000000000004">
      <c r="A8" s="19" t="s">
        <v>1</v>
      </c>
      <c r="B8" s="3">
        <v>1</v>
      </c>
      <c r="C8" s="3" t="s">
        <v>9</v>
      </c>
      <c r="D8" s="3" t="s">
        <v>189</v>
      </c>
      <c r="E8" s="12">
        <v>11.16</v>
      </c>
      <c r="F8" s="7">
        <f>31.32*1.2</f>
        <v>37.583999999999996</v>
      </c>
      <c r="G8" s="7">
        <f>E8</f>
        <v>11.16</v>
      </c>
      <c r="H8" s="2"/>
    </row>
    <row r="9" spans="1:8" x14ac:dyDescent="0.55000000000000004">
      <c r="A9" s="22" t="s">
        <v>46</v>
      </c>
      <c r="B9" s="3">
        <v>1</v>
      </c>
      <c r="C9" s="3" t="s">
        <v>10</v>
      </c>
      <c r="D9" s="3" t="s">
        <v>189</v>
      </c>
      <c r="E9" s="7">
        <v>1</v>
      </c>
      <c r="F9" s="12">
        <f>0.37*1.2</f>
        <v>0.44400000000000001</v>
      </c>
      <c r="G9" s="7">
        <f>0.37*1.2</f>
        <v>0.44400000000000001</v>
      </c>
      <c r="H9" s="2"/>
    </row>
    <row r="10" spans="1:8" x14ac:dyDescent="0.55000000000000004">
      <c r="A10" s="19" t="s">
        <v>151</v>
      </c>
      <c r="B10" s="3">
        <v>1</v>
      </c>
      <c r="C10" s="3" t="s">
        <v>11</v>
      </c>
      <c r="D10" s="3" t="s">
        <v>338</v>
      </c>
      <c r="E10" s="7"/>
      <c r="F10" s="12">
        <f>81.74*1.2</f>
        <v>98.087999999999994</v>
      </c>
      <c r="G10" s="7">
        <f>81.74*1.2</f>
        <v>98.087999999999994</v>
      </c>
      <c r="H10" s="2"/>
    </row>
    <row r="11" spans="1:8" x14ac:dyDescent="0.55000000000000004">
      <c r="A11" s="19">
        <v>11311406366</v>
      </c>
      <c r="B11" s="3">
        <v>1</v>
      </c>
      <c r="C11" s="3" t="s">
        <v>12</v>
      </c>
      <c r="D11" s="3" t="s">
        <v>166</v>
      </c>
      <c r="E11" s="7"/>
      <c r="F11" s="12">
        <f>57.77*1.2</f>
        <v>69.323999999999998</v>
      </c>
      <c r="G11" s="7">
        <f>57.77*1.2</f>
        <v>69.323999999999998</v>
      </c>
      <c r="H11" s="2"/>
    </row>
    <row r="12" spans="1:8" x14ac:dyDescent="0.55000000000000004">
      <c r="A12" s="19" t="s">
        <v>153</v>
      </c>
      <c r="B12" s="3">
        <v>1</v>
      </c>
      <c r="C12" s="3" t="s">
        <v>13</v>
      </c>
      <c r="D12" s="3" t="s">
        <v>166</v>
      </c>
      <c r="E12" s="7"/>
      <c r="F12" s="12">
        <f>28.23*1.2</f>
        <v>33.875999999999998</v>
      </c>
      <c r="G12" s="7">
        <f>28.23*1.2</f>
        <v>33.875999999999998</v>
      </c>
      <c r="H12" s="2"/>
    </row>
    <row r="13" spans="1:8" x14ac:dyDescent="0.55000000000000004">
      <c r="A13" s="19" t="s">
        <v>152</v>
      </c>
      <c r="B13" s="3">
        <v>1</v>
      </c>
      <c r="C13" s="3" t="s">
        <v>14</v>
      </c>
      <c r="D13" s="3" t="s">
        <v>166</v>
      </c>
      <c r="E13" s="7"/>
      <c r="F13" s="12">
        <f>181.5*1.2</f>
        <v>217.79999999999998</v>
      </c>
      <c r="G13" s="7">
        <f>181.5*1.2</f>
        <v>217.79999999999998</v>
      </c>
      <c r="H13" s="2"/>
    </row>
    <row r="14" spans="1:8" x14ac:dyDescent="0.55000000000000004">
      <c r="A14" s="19">
        <v>11311745409</v>
      </c>
      <c r="B14" s="3">
        <v>2</v>
      </c>
      <c r="C14" s="3" t="s">
        <v>278</v>
      </c>
      <c r="D14" s="3" t="s">
        <v>166</v>
      </c>
      <c r="E14" s="7"/>
      <c r="F14" s="12">
        <f>21.97*1.2</f>
        <v>26.363999999999997</v>
      </c>
      <c r="G14" s="7">
        <f>21.97*1.2</f>
        <v>26.363999999999997</v>
      </c>
      <c r="H14" s="2"/>
    </row>
    <row r="15" spans="1:8" x14ac:dyDescent="0.55000000000000004">
      <c r="A15" s="22" t="s">
        <v>364</v>
      </c>
      <c r="B15" s="3">
        <v>1</v>
      </c>
      <c r="C15" s="3" t="s">
        <v>279</v>
      </c>
      <c r="D15" s="3" t="s">
        <v>166</v>
      </c>
      <c r="E15" s="7"/>
      <c r="F15" s="12">
        <f>0.57*1.2</f>
        <v>0.68399999999999994</v>
      </c>
      <c r="G15" s="7">
        <f>0.57*1.2</f>
        <v>0.68399999999999994</v>
      </c>
      <c r="H15" s="2"/>
    </row>
    <row r="16" spans="1:8" x14ac:dyDescent="0.55000000000000004">
      <c r="A16" s="19" t="s">
        <v>123</v>
      </c>
      <c r="B16" s="3">
        <v>1</v>
      </c>
      <c r="C16" s="3" t="s">
        <v>15</v>
      </c>
      <c r="D16" s="3"/>
      <c r="E16" s="7">
        <v>1</v>
      </c>
      <c r="F16" s="12">
        <f>1.66*1.2</f>
        <v>1.9919999999999998</v>
      </c>
      <c r="G16" s="7">
        <f>1.66*1.2</f>
        <v>1.9919999999999998</v>
      </c>
      <c r="H16" s="2"/>
    </row>
    <row r="17" spans="1:8" x14ac:dyDescent="0.55000000000000004">
      <c r="A17" s="19" t="s">
        <v>154</v>
      </c>
      <c r="B17" s="3">
        <v>1</v>
      </c>
      <c r="C17" s="3" t="s">
        <v>16</v>
      </c>
      <c r="D17" s="3" t="s">
        <v>281</v>
      </c>
      <c r="E17" s="7">
        <v>81.92</v>
      </c>
      <c r="F17" s="12">
        <f>76.27*1.2</f>
        <v>91.523999999999987</v>
      </c>
      <c r="G17" s="7">
        <f>76.27*1.2</f>
        <v>91.523999999999987</v>
      </c>
      <c r="H17" s="2"/>
    </row>
    <row r="18" spans="1:8" x14ac:dyDescent="0.55000000000000004">
      <c r="A18" s="22" t="s">
        <v>45</v>
      </c>
      <c r="B18" s="3">
        <v>1</v>
      </c>
      <c r="C18" s="3" t="s">
        <v>17</v>
      </c>
      <c r="D18" s="3" t="s">
        <v>336</v>
      </c>
      <c r="E18" s="7">
        <v>1</v>
      </c>
      <c r="F18" s="12">
        <f>0.31*1.2</f>
        <v>0.372</v>
      </c>
      <c r="G18" s="7">
        <f>0.31*1.2</f>
        <v>0.372</v>
      </c>
      <c r="H18" s="2"/>
    </row>
    <row r="19" spans="1:8" x14ac:dyDescent="0.55000000000000004">
      <c r="A19" s="19" t="s">
        <v>47</v>
      </c>
      <c r="B19" s="3">
        <v>2</v>
      </c>
      <c r="C19" s="3" t="s">
        <v>18</v>
      </c>
      <c r="D19" s="3" t="s">
        <v>293</v>
      </c>
      <c r="E19" s="7"/>
      <c r="F19" s="12">
        <f>(78.45*1.2)</f>
        <v>94.14</v>
      </c>
      <c r="G19" s="7">
        <f>(78.45*1.2)</f>
        <v>94.14</v>
      </c>
      <c r="H19" s="2"/>
    </row>
    <row r="20" spans="1:8" x14ac:dyDescent="0.55000000000000004">
      <c r="A20" s="19" t="s">
        <v>385</v>
      </c>
      <c r="B20" s="3"/>
      <c r="C20" s="3" t="s">
        <v>386</v>
      </c>
      <c r="D20" s="3"/>
      <c r="E20" s="7"/>
      <c r="F20" s="12">
        <f>38.05*1.2</f>
        <v>45.66</v>
      </c>
      <c r="G20" s="7">
        <f>38.05*1.2</f>
        <v>45.66</v>
      </c>
      <c r="H20" s="2"/>
    </row>
    <row r="21" spans="1:8" x14ac:dyDescent="0.55000000000000004">
      <c r="A21" s="19" t="s">
        <v>387</v>
      </c>
      <c r="B21" s="3">
        <v>1</v>
      </c>
      <c r="C21" s="3" t="s">
        <v>388</v>
      </c>
      <c r="D21" s="3"/>
      <c r="E21" s="7"/>
      <c r="F21" s="12">
        <f>1.2*1.2</f>
        <v>1.44</v>
      </c>
      <c r="G21" s="7">
        <f>1.2*1.2</f>
        <v>1.44</v>
      </c>
      <c r="H21" s="2"/>
    </row>
    <row r="22" spans="1:8" x14ac:dyDescent="0.55000000000000004">
      <c r="A22" s="19" t="s">
        <v>48</v>
      </c>
      <c r="B22" s="3">
        <v>1</v>
      </c>
      <c r="C22" s="3" t="s">
        <v>19</v>
      </c>
      <c r="D22" s="3" t="s">
        <v>166</v>
      </c>
      <c r="E22" s="7"/>
      <c r="F22" s="12">
        <f>133*1.2</f>
        <v>159.6</v>
      </c>
      <c r="G22" s="7">
        <f>133*1.2</f>
        <v>159.6</v>
      </c>
      <c r="H22" s="2"/>
    </row>
    <row r="23" spans="1:8" x14ac:dyDescent="0.55000000000000004">
      <c r="A23" s="19" t="s">
        <v>49</v>
      </c>
      <c r="B23" s="3">
        <v>1</v>
      </c>
      <c r="C23" s="3" t="s">
        <v>20</v>
      </c>
      <c r="D23" s="3" t="s">
        <v>166</v>
      </c>
      <c r="E23" s="7"/>
      <c r="F23" s="12">
        <f>169.34*1.2</f>
        <v>203.208</v>
      </c>
      <c r="G23" s="7">
        <f>169.34*1.2</f>
        <v>203.208</v>
      </c>
      <c r="H23" s="2"/>
    </row>
    <row r="24" spans="1:8" x14ac:dyDescent="0.55000000000000004">
      <c r="A24" s="4">
        <v>11121713264</v>
      </c>
      <c r="B24" s="3">
        <v>4</v>
      </c>
      <c r="C24" s="3" t="s">
        <v>272</v>
      </c>
      <c r="D24" s="9" t="s">
        <v>166</v>
      </c>
      <c r="E24" s="7"/>
      <c r="F24" s="7"/>
      <c r="G24" s="7"/>
      <c r="H24" s="2"/>
    </row>
    <row r="25" spans="1:8" x14ac:dyDescent="0.55000000000000004">
      <c r="A25" s="19" t="s">
        <v>339</v>
      </c>
      <c r="B25" s="3">
        <v>2</v>
      </c>
      <c r="C25" s="3" t="s">
        <v>273</v>
      </c>
      <c r="D25" t="s">
        <v>191</v>
      </c>
      <c r="E25" s="7">
        <v>11.49</v>
      </c>
      <c r="F25" s="12">
        <f>3.8*1.2</f>
        <v>4.5599999999999996</v>
      </c>
      <c r="G25" s="7">
        <f>3.8*1.2</f>
        <v>4.5599999999999996</v>
      </c>
      <c r="H25" s="2"/>
    </row>
    <row r="26" spans="1:8" x14ac:dyDescent="0.55000000000000004">
      <c r="A26" s="4">
        <v>11151407344</v>
      </c>
      <c r="B26" s="3">
        <v>1</v>
      </c>
      <c r="C26" s="3" t="s">
        <v>238</v>
      </c>
      <c r="D26" s="3" t="s">
        <v>166</v>
      </c>
      <c r="E26" s="7"/>
      <c r="F26" s="7"/>
      <c r="G26" s="7"/>
      <c r="H26" s="2"/>
    </row>
    <row r="27" spans="1:8" x14ac:dyDescent="0.55000000000000004">
      <c r="A27" s="4">
        <v>11151406902</v>
      </c>
      <c r="B27" s="3">
        <v>1</v>
      </c>
      <c r="C27" s="3" t="s">
        <v>239</v>
      </c>
      <c r="D27" s="3" t="s">
        <v>166</v>
      </c>
      <c r="E27" s="7"/>
      <c r="F27" s="7"/>
      <c r="G27" s="7"/>
      <c r="H27" s="2"/>
    </row>
    <row r="28" spans="1:8" x14ac:dyDescent="0.55000000000000004">
      <c r="A28" s="5" t="s">
        <v>50</v>
      </c>
      <c r="B28" s="3">
        <v>4</v>
      </c>
      <c r="C28" s="3" t="s">
        <v>240</v>
      </c>
      <c r="D28" s="3" t="s">
        <v>166</v>
      </c>
      <c r="E28" s="7"/>
      <c r="F28" s="7"/>
      <c r="G28" s="7"/>
      <c r="H28" s="2"/>
    </row>
    <row r="29" spans="1:8" x14ac:dyDescent="0.55000000000000004">
      <c r="A29" s="4" t="s">
        <v>115</v>
      </c>
      <c r="B29" s="3">
        <v>1</v>
      </c>
      <c r="C29" s="3" t="s">
        <v>241</v>
      </c>
      <c r="D29" s="3" t="s">
        <v>191</v>
      </c>
      <c r="E29" s="7">
        <v>3.11</v>
      </c>
      <c r="F29" s="7"/>
      <c r="G29" s="7"/>
      <c r="H29" s="2"/>
    </row>
    <row r="30" spans="1:8" x14ac:dyDescent="0.55000000000000004">
      <c r="A30" s="4">
        <v>11151276486</v>
      </c>
      <c r="B30" s="3">
        <v>1</v>
      </c>
      <c r="C30" s="3" t="s">
        <v>242</v>
      </c>
      <c r="D30" s="3" t="s">
        <v>166</v>
      </c>
      <c r="E30" s="7"/>
      <c r="F30" s="7"/>
      <c r="G30" s="7"/>
      <c r="H30" s="2"/>
    </row>
    <row r="31" spans="1:8" x14ac:dyDescent="0.55000000000000004">
      <c r="A31" s="4" t="s">
        <v>340</v>
      </c>
      <c r="B31" s="3">
        <v>1</v>
      </c>
      <c r="C31" s="3" t="s">
        <v>243</v>
      </c>
      <c r="D31" s="3" t="s">
        <v>244</v>
      </c>
      <c r="E31" s="7">
        <v>24.85</v>
      </c>
      <c r="F31" s="7"/>
      <c r="G31" s="7"/>
      <c r="H31" s="2"/>
    </row>
    <row r="32" spans="1:8" x14ac:dyDescent="0.55000000000000004">
      <c r="A32" s="4" t="s">
        <v>341</v>
      </c>
      <c r="B32" s="3">
        <v>2</v>
      </c>
      <c r="C32" s="3" t="s">
        <v>245</v>
      </c>
      <c r="D32" s="3" t="s">
        <v>246</v>
      </c>
      <c r="E32" s="7">
        <v>6.85</v>
      </c>
      <c r="F32" s="7"/>
      <c r="G32" s="7"/>
      <c r="H32" s="2"/>
    </row>
    <row r="33" spans="1:8" x14ac:dyDescent="0.55000000000000004">
      <c r="A33" s="4">
        <v>11727837591</v>
      </c>
      <c r="B33" s="3">
        <v>2</v>
      </c>
      <c r="C33" s="3" t="s">
        <v>247</v>
      </c>
      <c r="D33" s="3" t="s">
        <v>166</v>
      </c>
      <c r="E33" s="7"/>
      <c r="F33" s="7"/>
      <c r="G33" s="7"/>
      <c r="H33" s="2"/>
    </row>
    <row r="34" spans="1:8" x14ac:dyDescent="0.55000000000000004">
      <c r="A34" s="4" t="s">
        <v>485</v>
      </c>
      <c r="B34" s="3">
        <v>1</v>
      </c>
      <c r="C34" s="3" t="s">
        <v>248</v>
      </c>
      <c r="D34" s="3" t="s">
        <v>166</v>
      </c>
      <c r="E34" s="7"/>
      <c r="F34" s="7"/>
      <c r="G34" s="7"/>
      <c r="H34" s="2"/>
    </row>
    <row r="35" spans="1:8" x14ac:dyDescent="0.55000000000000004">
      <c r="A35" s="4">
        <v>11731407822</v>
      </c>
      <c r="B35" s="3">
        <v>1</v>
      </c>
      <c r="C35" s="3" t="s">
        <v>249</v>
      </c>
      <c r="D35" s="3" t="s">
        <v>166</v>
      </c>
      <c r="E35" s="7"/>
      <c r="F35" s="7"/>
      <c r="G35" s="7"/>
      <c r="H35" s="2"/>
    </row>
    <row r="36" spans="1:8" x14ac:dyDescent="0.55000000000000004">
      <c r="A36" s="4">
        <v>12141722928</v>
      </c>
      <c r="B36" s="3">
        <v>1</v>
      </c>
      <c r="C36" s="3" t="s">
        <v>250</v>
      </c>
      <c r="D36" s="3" t="s">
        <v>166</v>
      </c>
      <c r="E36" s="7"/>
      <c r="F36" s="7"/>
      <c r="G36" s="7"/>
      <c r="H36" s="2"/>
    </row>
    <row r="37" spans="1:8" x14ac:dyDescent="0.55000000000000004">
      <c r="A37" s="4">
        <v>11151406900</v>
      </c>
      <c r="B37" s="3">
        <v>1</v>
      </c>
      <c r="C37" s="3" t="s">
        <v>251</v>
      </c>
      <c r="D37" s="3" t="s">
        <v>166</v>
      </c>
      <c r="E37" s="7"/>
      <c r="F37" s="7"/>
      <c r="G37" s="7"/>
      <c r="H37" s="2"/>
    </row>
    <row r="38" spans="1:8" x14ac:dyDescent="0.55000000000000004">
      <c r="A38" s="4">
        <v>11611407391</v>
      </c>
      <c r="B38" s="3">
        <v>1</v>
      </c>
      <c r="C38" s="3" t="s">
        <v>252</v>
      </c>
      <c r="D38" s="3" t="s">
        <v>166</v>
      </c>
      <c r="E38" s="7"/>
      <c r="F38" s="7"/>
      <c r="G38" s="7"/>
      <c r="H38" s="2"/>
    </row>
    <row r="39" spans="1:8" x14ac:dyDescent="0.55000000000000004">
      <c r="A39" s="4">
        <v>11367830147</v>
      </c>
      <c r="B39" s="3">
        <v>1</v>
      </c>
      <c r="C39" s="3" t="s">
        <v>253</v>
      </c>
      <c r="D39" s="3" t="s">
        <v>166</v>
      </c>
      <c r="E39" s="7"/>
      <c r="F39" s="7"/>
      <c r="G39" s="7"/>
      <c r="H39" s="2"/>
    </row>
    <row r="40" spans="1:8" x14ac:dyDescent="0.55000000000000004">
      <c r="A40" s="5" t="s">
        <v>363</v>
      </c>
      <c r="B40" s="3">
        <v>4</v>
      </c>
      <c r="C40" s="3" t="s">
        <v>254</v>
      </c>
      <c r="D40" s="3" t="s">
        <v>166</v>
      </c>
      <c r="E40" s="7"/>
      <c r="F40" s="7"/>
      <c r="G40" s="7"/>
      <c r="H40" s="2"/>
    </row>
    <row r="41" spans="1:8" x14ac:dyDescent="0.55000000000000004">
      <c r="A41" s="19">
        <v>13541406352</v>
      </c>
      <c r="B41" s="3">
        <v>8</v>
      </c>
      <c r="C41" s="3" t="s">
        <v>255</v>
      </c>
      <c r="D41" s="3" t="s">
        <v>166</v>
      </c>
      <c r="E41" s="7"/>
      <c r="F41" s="12">
        <f>16.74*1.2</f>
        <v>20.087999999999997</v>
      </c>
      <c r="G41" s="7">
        <f>16.74*1.2</f>
        <v>20.087999999999997</v>
      </c>
      <c r="H41" s="2"/>
    </row>
    <row r="42" spans="1:8" x14ac:dyDescent="0.55000000000000004">
      <c r="A42" s="19">
        <v>13411406378</v>
      </c>
      <c r="B42" s="3">
        <v>12</v>
      </c>
      <c r="C42" s="3" t="s">
        <v>256</v>
      </c>
      <c r="D42" s="3" t="s">
        <v>166</v>
      </c>
      <c r="E42" s="7"/>
      <c r="F42" s="12">
        <f>25.47*1.2</f>
        <v>30.563999999999997</v>
      </c>
      <c r="G42" s="7">
        <f>25.47*1.2</f>
        <v>30.563999999999997</v>
      </c>
      <c r="H42" s="2"/>
    </row>
    <row r="43" spans="1:8" x14ac:dyDescent="0.55000000000000004">
      <c r="A43" s="5" t="s">
        <v>362</v>
      </c>
      <c r="B43" s="3">
        <v>5</v>
      </c>
      <c r="C43" s="3" t="s">
        <v>257</v>
      </c>
      <c r="D43" s="3" t="s">
        <v>187</v>
      </c>
      <c r="E43" s="7"/>
      <c r="F43" s="7"/>
      <c r="G43" s="7"/>
      <c r="H43" s="2"/>
    </row>
    <row r="44" spans="1:8" x14ac:dyDescent="0.55000000000000004">
      <c r="A44" s="4" t="s">
        <v>483</v>
      </c>
      <c r="B44" s="3">
        <v>1</v>
      </c>
      <c r="C44" s="3" t="s">
        <v>258</v>
      </c>
      <c r="D44" s="3" t="s">
        <v>166</v>
      </c>
      <c r="E44" s="7"/>
      <c r="F44" s="7"/>
      <c r="G44" s="7"/>
      <c r="H44" s="2"/>
    </row>
    <row r="45" spans="1:8" x14ac:dyDescent="0.55000000000000004">
      <c r="A45" s="4">
        <v>13417830411</v>
      </c>
      <c r="B45" s="3">
        <v>1</v>
      </c>
      <c r="C45" s="3" t="s">
        <v>259</v>
      </c>
      <c r="D45" s="3" t="s">
        <v>166</v>
      </c>
      <c r="E45" s="7"/>
      <c r="F45" s="7"/>
      <c r="G45" s="7"/>
      <c r="H45" s="2"/>
    </row>
    <row r="46" spans="1:8" x14ac:dyDescent="0.55000000000000004">
      <c r="A46" s="4">
        <v>13417830410</v>
      </c>
      <c r="B46" s="3">
        <v>1</v>
      </c>
      <c r="C46" s="3" t="s">
        <v>260</v>
      </c>
      <c r="D46" s="3" t="s">
        <v>166</v>
      </c>
      <c r="E46" s="7"/>
      <c r="F46" s="7"/>
      <c r="G46" s="7"/>
      <c r="H46" s="2"/>
    </row>
    <row r="47" spans="1:8" x14ac:dyDescent="0.55000000000000004">
      <c r="A47" s="4">
        <v>13417831480</v>
      </c>
      <c r="B47" s="3">
        <v>1</v>
      </c>
      <c r="C47" s="3" t="s">
        <v>261</v>
      </c>
      <c r="D47" s="3" t="s">
        <v>166</v>
      </c>
      <c r="E47" s="7"/>
      <c r="F47" s="7"/>
      <c r="G47" s="7"/>
      <c r="H47" s="2"/>
    </row>
    <row r="48" spans="1:8" x14ac:dyDescent="0.55000000000000004">
      <c r="A48" s="4" t="s">
        <v>484</v>
      </c>
      <c r="B48" s="3">
        <v>1</v>
      </c>
      <c r="C48" s="3" t="s">
        <v>262</v>
      </c>
      <c r="D48" s="3" t="s">
        <v>166</v>
      </c>
      <c r="E48" s="7"/>
      <c r="F48" s="7"/>
      <c r="G48" s="7"/>
      <c r="H48" s="2"/>
    </row>
    <row r="49" spans="1:8" x14ac:dyDescent="0.55000000000000004">
      <c r="A49" s="4">
        <v>13417830580</v>
      </c>
      <c r="B49" s="3">
        <v>1</v>
      </c>
      <c r="C49" s="3" t="s">
        <v>263</v>
      </c>
      <c r="D49" s="3" t="s">
        <v>166</v>
      </c>
      <c r="E49" s="7"/>
      <c r="F49" s="7"/>
      <c r="G49" s="7"/>
      <c r="H49" s="2"/>
    </row>
    <row r="50" spans="1:8" x14ac:dyDescent="0.55000000000000004">
      <c r="A50" s="19" t="s">
        <v>2</v>
      </c>
      <c r="B50" s="3">
        <v>1</v>
      </c>
      <c r="C50" s="3" t="s">
        <v>21</v>
      </c>
      <c r="D50" s="3" t="s">
        <v>149</v>
      </c>
      <c r="E50" s="7">
        <v>44.51</v>
      </c>
      <c r="F50" s="12">
        <f>40.32*1.2</f>
        <v>48.384</v>
      </c>
      <c r="G50" s="7">
        <f>40.32*1.2</f>
        <v>48.384</v>
      </c>
      <c r="H50" s="2"/>
    </row>
    <row r="51" spans="1:8" x14ac:dyDescent="0.55000000000000004">
      <c r="A51" s="19" t="s">
        <v>51</v>
      </c>
      <c r="B51" s="3">
        <v>1</v>
      </c>
      <c r="C51" s="3" t="s">
        <v>22</v>
      </c>
      <c r="D51" s="3" t="s">
        <v>149</v>
      </c>
      <c r="E51" s="7">
        <v>42.46</v>
      </c>
      <c r="F51" s="12">
        <f>40.32*1.2</f>
        <v>48.384</v>
      </c>
      <c r="G51" s="7">
        <f>40.32*1.2</f>
        <v>48.384</v>
      </c>
      <c r="H51" s="2"/>
    </row>
    <row r="52" spans="1:8" x14ac:dyDescent="0.55000000000000004">
      <c r="A52" s="5" t="s">
        <v>156</v>
      </c>
      <c r="B52" s="3">
        <v>1</v>
      </c>
      <c r="C52" s="3" t="s">
        <v>23</v>
      </c>
      <c r="D52" s="3" t="s">
        <v>288</v>
      </c>
      <c r="E52" s="7"/>
      <c r="F52" s="7"/>
      <c r="G52" s="7"/>
      <c r="H52" s="2"/>
    </row>
    <row r="53" spans="1:8" x14ac:dyDescent="0.55000000000000004">
      <c r="A53" s="19" t="s">
        <v>52</v>
      </c>
      <c r="B53" s="3">
        <v>6</v>
      </c>
      <c r="C53" s="3" t="s">
        <v>24</v>
      </c>
      <c r="D53" s="3" t="s">
        <v>189</v>
      </c>
      <c r="E53" s="7"/>
      <c r="F53" s="12">
        <f>17.62*1.2</f>
        <v>21.144000000000002</v>
      </c>
      <c r="G53" s="7">
        <f>17.62*1.2</f>
        <v>21.144000000000002</v>
      </c>
      <c r="H53" s="2"/>
    </row>
    <row r="54" spans="1:8" x14ac:dyDescent="0.55000000000000004">
      <c r="A54" s="19" t="s">
        <v>53</v>
      </c>
      <c r="B54" s="3">
        <v>20</v>
      </c>
      <c r="C54" s="3" t="s">
        <v>24</v>
      </c>
      <c r="D54" s="3" t="s">
        <v>187</v>
      </c>
      <c r="E54" s="7"/>
      <c r="F54" s="12">
        <f>17.6*1.2</f>
        <v>21.12</v>
      </c>
      <c r="G54" s="7">
        <f>17.6*1.2</f>
        <v>21.12</v>
      </c>
      <c r="H54" s="2"/>
    </row>
    <row r="55" spans="1:8" x14ac:dyDescent="0.55000000000000004">
      <c r="A55" s="19" t="s">
        <v>404</v>
      </c>
      <c r="B55" s="3">
        <v>4</v>
      </c>
      <c r="C55" s="3" t="s">
        <v>8</v>
      </c>
      <c r="D55" s="3"/>
      <c r="E55" s="7"/>
      <c r="F55" s="12">
        <f>5.54*1.2</f>
        <v>6.6479999999999997</v>
      </c>
      <c r="G55" s="7">
        <f>5.54*1.2</f>
        <v>6.6479999999999997</v>
      </c>
      <c r="H55" s="2"/>
    </row>
    <row r="56" spans="1:8" x14ac:dyDescent="0.55000000000000004">
      <c r="A56" s="4">
        <v>11611406747</v>
      </c>
      <c r="B56" s="3">
        <v>4</v>
      </c>
      <c r="C56" s="3" t="s">
        <v>289</v>
      </c>
      <c r="D56" s="3" t="s">
        <v>166</v>
      </c>
      <c r="E56" s="7"/>
      <c r="F56" s="7"/>
      <c r="G56" s="7"/>
      <c r="H56" s="2"/>
    </row>
    <row r="57" spans="1:8" x14ac:dyDescent="0.55000000000000004">
      <c r="A57" s="19" t="s">
        <v>54</v>
      </c>
      <c r="B57" s="3">
        <v>1</v>
      </c>
      <c r="C57" s="3" t="s">
        <v>25</v>
      </c>
      <c r="D57" s="3" t="s">
        <v>191</v>
      </c>
      <c r="E57" s="7">
        <v>7</v>
      </c>
      <c r="F57" s="12">
        <f>8.34*1.2</f>
        <v>10.007999999999999</v>
      </c>
      <c r="G57" s="7">
        <f>8.34*1.2</f>
        <v>10.007999999999999</v>
      </c>
      <c r="H57" s="2"/>
    </row>
    <row r="58" spans="1:8" x14ac:dyDescent="0.55000000000000004">
      <c r="A58" s="4" t="s">
        <v>55</v>
      </c>
      <c r="B58" s="3">
        <v>4</v>
      </c>
      <c r="C58" s="3" t="s">
        <v>26</v>
      </c>
      <c r="D58" s="3"/>
      <c r="E58" s="7">
        <f>8.04*4</f>
        <v>32.159999999999997</v>
      </c>
      <c r="F58" s="7"/>
      <c r="G58" s="7"/>
      <c r="H58" s="2"/>
    </row>
    <row r="59" spans="1:8" x14ac:dyDescent="0.55000000000000004">
      <c r="A59" s="19" t="s">
        <v>56</v>
      </c>
      <c r="B59" s="3">
        <v>1</v>
      </c>
      <c r="C59" s="3" t="s">
        <v>342</v>
      </c>
      <c r="D59" s="3" t="s">
        <v>191</v>
      </c>
      <c r="E59" s="7">
        <v>1</v>
      </c>
      <c r="F59" s="12">
        <f>0.86*1.2</f>
        <v>1.032</v>
      </c>
      <c r="G59" s="7">
        <f>0.86*1.2</f>
        <v>1.032</v>
      </c>
      <c r="H59" s="2"/>
    </row>
    <row r="60" spans="1:8" x14ac:dyDescent="0.55000000000000004">
      <c r="A60" s="19" t="s">
        <v>57</v>
      </c>
      <c r="B60" s="3">
        <v>4</v>
      </c>
      <c r="C60" s="3" t="s">
        <v>343</v>
      </c>
      <c r="D60" s="3" t="s">
        <v>166</v>
      </c>
      <c r="E60" s="7"/>
      <c r="F60" s="12">
        <f>6.69*1.2</f>
        <v>8.0280000000000005</v>
      </c>
      <c r="G60" s="7">
        <f>6.69*1.2</f>
        <v>8.0280000000000005</v>
      </c>
      <c r="H60" s="2"/>
    </row>
    <row r="61" spans="1:8" x14ac:dyDescent="0.55000000000000004">
      <c r="A61" s="19" t="s">
        <v>58</v>
      </c>
      <c r="B61" s="3">
        <v>6</v>
      </c>
      <c r="C61" s="3" t="s">
        <v>344</v>
      </c>
      <c r="D61" s="3" t="s">
        <v>191</v>
      </c>
      <c r="E61" s="7">
        <f>1.49*6</f>
        <v>8.94</v>
      </c>
      <c r="F61" s="12">
        <f>5.91*1.2</f>
        <v>7.0919999999999996</v>
      </c>
      <c r="G61" s="7">
        <f>5.91*1.2</f>
        <v>7.0919999999999996</v>
      </c>
      <c r="H61" s="2"/>
    </row>
    <row r="62" spans="1:8" x14ac:dyDescent="0.55000000000000004">
      <c r="A62" s="19" t="s">
        <v>59</v>
      </c>
      <c r="B62" s="3">
        <v>4</v>
      </c>
      <c r="C62" s="3" t="s">
        <v>27</v>
      </c>
      <c r="D62" s="3"/>
      <c r="E62" s="7">
        <v>7.5</v>
      </c>
      <c r="F62" s="12">
        <f>0.92*1.2</f>
        <v>1.1040000000000001</v>
      </c>
      <c r="G62" s="7">
        <f>0.92*1.2</f>
        <v>1.1040000000000001</v>
      </c>
      <c r="H62" s="2"/>
    </row>
    <row r="63" spans="1:8" x14ac:dyDescent="0.55000000000000004">
      <c r="A63" s="4">
        <v>11111734667</v>
      </c>
      <c r="B63" s="3">
        <v>2</v>
      </c>
      <c r="C63" s="3" t="s">
        <v>290</v>
      </c>
      <c r="D63" s="3" t="s">
        <v>166</v>
      </c>
      <c r="E63" s="7"/>
      <c r="F63" s="7"/>
      <c r="G63" s="7"/>
      <c r="H63" s="2"/>
    </row>
    <row r="64" spans="1:8" x14ac:dyDescent="0.55000000000000004">
      <c r="A64" s="4">
        <v>11111739185</v>
      </c>
      <c r="B64" s="3">
        <v>2</v>
      </c>
      <c r="C64" s="3" t="s">
        <v>291</v>
      </c>
      <c r="D64" s="3" t="s">
        <v>166</v>
      </c>
      <c r="E64" s="7"/>
      <c r="F64" s="7"/>
      <c r="G64" s="7"/>
      <c r="H64" s="2"/>
    </row>
    <row r="65" spans="1:8" x14ac:dyDescent="0.55000000000000004">
      <c r="A65" s="4" t="s">
        <v>60</v>
      </c>
      <c r="B65" s="3">
        <v>24</v>
      </c>
      <c r="C65" s="3" t="s">
        <v>28</v>
      </c>
      <c r="D65" s="3" t="s">
        <v>166</v>
      </c>
      <c r="E65" s="7"/>
      <c r="F65" s="7"/>
      <c r="G65" s="7"/>
      <c r="H65" s="2"/>
    </row>
    <row r="66" spans="1:8" x14ac:dyDescent="0.55000000000000004">
      <c r="A66" s="4" t="s">
        <v>61</v>
      </c>
      <c r="B66" s="3">
        <v>24</v>
      </c>
      <c r="C66" s="3" t="s">
        <v>29</v>
      </c>
      <c r="D66" s="3"/>
      <c r="E66" s="7">
        <f>1.1*24</f>
        <v>26.400000000000002</v>
      </c>
      <c r="F66" s="7"/>
      <c r="G66" s="7"/>
      <c r="H66" s="2"/>
    </row>
    <row r="67" spans="1:8" x14ac:dyDescent="0.55000000000000004">
      <c r="A67" s="19" t="s">
        <v>62</v>
      </c>
      <c r="B67" s="3">
        <v>1</v>
      </c>
      <c r="C67" s="3" t="s">
        <v>30</v>
      </c>
      <c r="D67" s="3" t="s">
        <v>166</v>
      </c>
      <c r="E67" s="7"/>
      <c r="F67" s="12">
        <f>11.38*1.2</f>
        <v>13.656000000000001</v>
      </c>
      <c r="G67" s="7">
        <f>11.38*1.2</f>
        <v>13.656000000000001</v>
      </c>
      <c r="H67" s="2"/>
    </row>
    <row r="68" spans="1:8" ht="28.8" x14ac:dyDescent="0.55000000000000004">
      <c r="A68" s="4"/>
      <c r="B68" s="3"/>
      <c r="C68" s="14" t="s">
        <v>3</v>
      </c>
      <c r="D68" s="3"/>
      <c r="E68" s="7"/>
      <c r="F68" s="7"/>
      <c r="G68" s="7"/>
      <c r="H68" s="2"/>
    </row>
    <row r="69" spans="1:8" x14ac:dyDescent="0.55000000000000004">
      <c r="A69" s="4"/>
      <c r="B69" s="3"/>
      <c r="C69" s="4"/>
      <c r="D69" s="3"/>
      <c r="E69" s="7">
        <f>SUM(E4:E68)</f>
        <v>368.18</v>
      </c>
      <c r="F69" s="7">
        <f>SUM(F4:F68)</f>
        <v>1382.9399999999998</v>
      </c>
      <c r="G69" s="12">
        <f>SUM(G4:G68)</f>
        <v>1353.4179999999999</v>
      </c>
      <c r="H69" s="2"/>
    </row>
    <row r="70" spans="1:8" x14ac:dyDescent="0.55000000000000004">
      <c r="A70" s="4"/>
      <c r="B70" s="3"/>
      <c r="C70" s="4"/>
      <c r="D70" s="3"/>
      <c r="E70" s="7"/>
      <c r="F70" s="7"/>
      <c r="G70" s="7"/>
      <c r="H70" s="2"/>
    </row>
    <row r="71" spans="1:8" x14ac:dyDescent="0.55000000000000004">
      <c r="A71" s="15" t="s">
        <v>85</v>
      </c>
      <c r="B71" s="3"/>
      <c r="C71" s="4"/>
      <c r="D71" s="4"/>
      <c r="E71" s="7"/>
      <c r="F71" s="7"/>
      <c r="G71" s="7"/>
      <c r="H71" s="2"/>
    </row>
    <row r="72" spans="1:8" x14ac:dyDescent="0.55000000000000004">
      <c r="A72" s="4" t="s">
        <v>380</v>
      </c>
      <c r="B72" s="3">
        <v>1</v>
      </c>
      <c r="C72" s="4" t="s">
        <v>170</v>
      </c>
      <c r="D72" s="4" t="s">
        <v>171</v>
      </c>
      <c r="E72" s="7"/>
      <c r="F72" s="7"/>
      <c r="G72" s="7"/>
      <c r="H72" s="2"/>
    </row>
    <row r="73" spans="1:8" x14ac:dyDescent="0.55000000000000004">
      <c r="A73" s="19">
        <v>11211725917</v>
      </c>
      <c r="B73" s="3">
        <v>5</v>
      </c>
      <c r="C73" s="4" t="s">
        <v>172</v>
      </c>
      <c r="D73" s="4" t="s">
        <v>166</v>
      </c>
      <c r="E73" s="7"/>
      <c r="F73" s="12">
        <f>85.42*1.2</f>
        <v>102.504</v>
      </c>
      <c r="G73" s="7">
        <f>85.42*1.2</f>
        <v>102.504</v>
      </c>
      <c r="H73" s="2"/>
    </row>
    <row r="74" spans="1:8" x14ac:dyDescent="0.55000000000000004">
      <c r="A74" s="19">
        <v>11211702144</v>
      </c>
      <c r="B74" s="3">
        <v>3</v>
      </c>
      <c r="C74" s="4" t="s">
        <v>173</v>
      </c>
      <c r="D74" s="4" t="s">
        <v>166</v>
      </c>
      <c r="E74" s="7"/>
      <c r="F74" s="12">
        <f>40.92*1.2</f>
        <v>49.103999999999999</v>
      </c>
      <c r="G74" s="7">
        <f>40.92*1.2</f>
        <v>49.103999999999999</v>
      </c>
      <c r="H74" s="2"/>
    </row>
    <row r="75" spans="1:8" x14ac:dyDescent="0.55000000000000004">
      <c r="A75" s="19">
        <v>11211702147</v>
      </c>
      <c r="B75" s="3">
        <v>2</v>
      </c>
      <c r="C75" s="4" t="s">
        <v>174</v>
      </c>
      <c r="D75" s="4" t="s">
        <v>166</v>
      </c>
      <c r="E75" s="7"/>
      <c r="F75" s="12">
        <f>43.93*1.2</f>
        <v>52.716000000000001</v>
      </c>
      <c r="G75" s="7">
        <f>43.93*1.2</f>
        <v>52.716000000000001</v>
      </c>
      <c r="H75" s="2"/>
    </row>
    <row r="76" spans="1:8" x14ac:dyDescent="0.55000000000000004">
      <c r="A76" s="19">
        <v>11211725908</v>
      </c>
      <c r="B76" s="3">
        <v>5</v>
      </c>
      <c r="C76" s="4" t="s">
        <v>175</v>
      </c>
      <c r="D76" s="4" t="s">
        <v>166</v>
      </c>
      <c r="E76" s="7"/>
      <c r="F76" s="12">
        <f>85.42*1.2</f>
        <v>102.504</v>
      </c>
      <c r="G76" s="7">
        <f>85.42*1.2</f>
        <v>102.504</v>
      </c>
      <c r="H76" s="2"/>
    </row>
    <row r="77" spans="1:8" x14ac:dyDescent="0.55000000000000004">
      <c r="A77" s="19" t="s">
        <v>401</v>
      </c>
      <c r="B77" s="3">
        <v>10</v>
      </c>
      <c r="C77" s="4" t="s">
        <v>402</v>
      </c>
      <c r="D77" s="4" t="s">
        <v>166</v>
      </c>
      <c r="E77" s="7"/>
      <c r="F77" s="12">
        <f>27.8*1.2</f>
        <v>33.36</v>
      </c>
      <c r="G77" s="7">
        <f>27.8*1.2</f>
        <v>33.36</v>
      </c>
      <c r="H77" s="2"/>
    </row>
    <row r="78" spans="1:8" x14ac:dyDescent="0.55000000000000004">
      <c r="A78" s="4">
        <v>11111745188</v>
      </c>
      <c r="B78" s="3">
        <v>10</v>
      </c>
      <c r="C78" s="4" t="s">
        <v>176</v>
      </c>
      <c r="D78" s="4" t="s">
        <v>166</v>
      </c>
      <c r="E78" s="7"/>
      <c r="F78" s="7"/>
      <c r="G78" s="7"/>
      <c r="H78" s="2"/>
    </row>
    <row r="79" spans="1:8" x14ac:dyDescent="0.55000000000000004">
      <c r="A79" s="4">
        <v>11111736005</v>
      </c>
      <c r="B79" s="3">
        <v>10</v>
      </c>
      <c r="C79" s="4" t="s">
        <v>177</v>
      </c>
      <c r="D79" s="4" t="s">
        <v>166</v>
      </c>
      <c r="E79" s="7"/>
      <c r="F79" s="7"/>
      <c r="G79" s="7"/>
      <c r="H79" s="2"/>
    </row>
    <row r="80" spans="1:8" x14ac:dyDescent="0.55000000000000004">
      <c r="A80" s="4">
        <v>11231402618</v>
      </c>
      <c r="B80" s="3">
        <v>4</v>
      </c>
      <c r="C80" s="4" t="s">
        <v>178</v>
      </c>
      <c r="D80" s="4" t="s">
        <v>166</v>
      </c>
      <c r="E80" s="7"/>
      <c r="F80" s="7"/>
      <c r="G80" s="7"/>
      <c r="H80" s="2"/>
    </row>
    <row r="81" spans="1:8" x14ac:dyDescent="0.55000000000000004">
      <c r="A81" s="4">
        <v>83300490861</v>
      </c>
      <c r="B81" s="3">
        <v>1</v>
      </c>
      <c r="C81" s="4" t="s">
        <v>179</v>
      </c>
      <c r="D81" s="4" t="s">
        <v>166</v>
      </c>
      <c r="E81" s="7"/>
      <c r="F81" s="7"/>
      <c r="G81" s="7"/>
      <c r="H81" s="2"/>
    </row>
    <row r="82" spans="1:8" x14ac:dyDescent="0.55000000000000004">
      <c r="A82" s="4" t="s">
        <v>181</v>
      </c>
      <c r="B82" s="3">
        <v>1</v>
      </c>
      <c r="C82" s="4" t="s">
        <v>180</v>
      </c>
      <c r="D82" s="4" t="s">
        <v>182</v>
      </c>
      <c r="E82" s="7"/>
      <c r="F82" s="7"/>
      <c r="G82" s="7"/>
      <c r="H82" s="2"/>
    </row>
    <row r="83" spans="1:8" x14ac:dyDescent="0.55000000000000004">
      <c r="A83" s="4">
        <v>83300493386</v>
      </c>
      <c r="B83" s="3">
        <v>1</v>
      </c>
      <c r="C83" s="4" t="s">
        <v>180</v>
      </c>
      <c r="D83" s="4" t="s">
        <v>166</v>
      </c>
      <c r="E83" s="7"/>
      <c r="F83" s="7"/>
      <c r="G83" s="7"/>
      <c r="H83" s="2"/>
    </row>
    <row r="84" spans="1:8" x14ac:dyDescent="0.55000000000000004">
      <c r="A84" s="4" t="s">
        <v>115</v>
      </c>
      <c r="B84" s="3">
        <v>2</v>
      </c>
      <c r="C84" s="4" t="s">
        <v>86</v>
      </c>
      <c r="D84" s="3" t="s">
        <v>348</v>
      </c>
      <c r="E84" s="7">
        <f>3.11*2</f>
        <v>6.22</v>
      </c>
      <c r="F84" s="7"/>
      <c r="G84" s="7"/>
      <c r="H84" s="2"/>
    </row>
    <row r="85" spans="1:8" x14ac:dyDescent="0.55000000000000004">
      <c r="A85" s="4" t="s">
        <v>116</v>
      </c>
      <c r="B85" s="3">
        <v>2</v>
      </c>
      <c r="C85" s="4" t="s">
        <v>87</v>
      </c>
      <c r="D85" s="4" t="s">
        <v>84</v>
      </c>
      <c r="E85" s="7">
        <f>5.65*2</f>
        <v>11.3</v>
      </c>
      <c r="F85" s="7"/>
      <c r="G85" s="7"/>
      <c r="H85" s="2"/>
    </row>
    <row r="86" spans="1:8" x14ac:dyDescent="0.55000000000000004">
      <c r="A86" s="4" t="s">
        <v>117</v>
      </c>
      <c r="B86" s="3">
        <v>2</v>
      </c>
      <c r="C86" s="4" t="s">
        <v>88</v>
      </c>
      <c r="D86" s="4" t="s">
        <v>349</v>
      </c>
      <c r="E86" s="7">
        <f>5.05*2</f>
        <v>10.1</v>
      </c>
      <c r="F86" s="7"/>
      <c r="G86" s="7"/>
      <c r="H86" s="2"/>
    </row>
    <row r="87" spans="1:8" x14ac:dyDescent="0.55000000000000004">
      <c r="A87" s="4" t="s">
        <v>118</v>
      </c>
      <c r="B87" s="3">
        <v>2</v>
      </c>
      <c r="C87" s="4" t="s">
        <v>89</v>
      </c>
      <c r="D87" s="4" t="s">
        <v>349</v>
      </c>
      <c r="E87" s="7">
        <f>5.77*2</f>
        <v>11.54</v>
      </c>
      <c r="F87" s="7"/>
      <c r="G87" s="7"/>
      <c r="H87" s="2"/>
    </row>
    <row r="88" spans="1:8" x14ac:dyDescent="0.55000000000000004">
      <c r="A88" s="19" t="s">
        <v>119</v>
      </c>
      <c r="B88" s="3">
        <v>2</v>
      </c>
      <c r="C88" s="4" t="s">
        <v>90</v>
      </c>
      <c r="D88" s="4" t="s">
        <v>84</v>
      </c>
      <c r="E88" s="7">
        <f>2.47*2</f>
        <v>4.9400000000000004</v>
      </c>
      <c r="F88" s="12">
        <f>2.46*1.2</f>
        <v>2.952</v>
      </c>
      <c r="G88" s="7">
        <f>2.46*1.2</f>
        <v>2.952</v>
      </c>
      <c r="H88" s="2"/>
    </row>
    <row r="89" spans="1:8" x14ac:dyDescent="0.55000000000000004">
      <c r="A89" s="19" t="s">
        <v>120</v>
      </c>
      <c r="B89" s="3">
        <v>1</v>
      </c>
      <c r="C89" s="4" t="s">
        <v>91</v>
      </c>
      <c r="D89" s="4" t="s">
        <v>349</v>
      </c>
      <c r="E89" s="7">
        <v>2.14</v>
      </c>
      <c r="F89" s="12">
        <f>1.51*1.2</f>
        <v>1.8119999999999998</v>
      </c>
      <c r="G89" s="7">
        <f>1.51*1.2</f>
        <v>1.8119999999999998</v>
      </c>
      <c r="H89" s="2"/>
    </row>
    <row r="90" spans="1:8" x14ac:dyDescent="0.55000000000000004">
      <c r="A90" s="19" t="s">
        <v>121</v>
      </c>
      <c r="B90" s="3">
        <v>1</v>
      </c>
      <c r="C90" s="4" t="s">
        <v>92</v>
      </c>
      <c r="D90" s="4"/>
      <c r="E90" s="7">
        <v>3</v>
      </c>
      <c r="F90" s="12">
        <f>1.83*1.2</f>
        <v>2.1960000000000002</v>
      </c>
      <c r="G90" s="7">
        <f>1.83*1.2</f>
        <v>2.1960000000000002</v>
      </c>
      <c r="H90" s="2"/>
    </row>
    <row r="91" spans="1:8" x14ac:dyDescent="0.55000000000000004">
      <c r="A91" s="4" t="s">
        <v>122</v>
      </c>
      <c r="B91" s="3">
        <v>1</v>
      </c>
      <c r="C91" s="4" t="s">
        <v>93</v>
      </c>
      <c r="D91" s="4" t="s">
        <v>349</v>
      </c>
      <c r="E91" s="7">
        <v>41.44</v>
      </c>
      <c r="F91" s="7"/>
      <c r="G91" s="7"/>
      <c r="H91" s="2"/>
    </row>
    <row r="92" spans="1:8" x14ac:dyDescent="0.55000000000000004">
      <c r="A92" s="19" t="s">
        <v>123</v>
      </c>
      <c r="B92" s="3">
        <v>1</v>
      </c>
      <c r="C92" s="4" t="s">
        <v>94</v>
      </c>
      <c r="D92" s="4" t="s">
        <v>349</v>
      </c>
      <c r="E92" s="7">
        <v>2.35</v>
      </c>
      <c r="F92" s="12">
        <f>1.66*1.2</f>
        <v>1.9919999999999998</v>
      </c>
      <c r="G92" s="7">
        <f>1.66*1.2</f>
        <v>1.9919999999999998</v>
      </c>
      <c r="H92" s="2"/>
    </row>
    <row r="93" spans="1:8" x14ac:dyDescent="0.55000000000000004">
      <c r="A93" s="4" t="s">
        <v>124</v>
      </c>
      <c r="B93" s="3">
        <v>1</v>
      </c>
      <c r="C93" s="4" t="s">
        <v>95</v>
      </c>
      <c r="D93" s="4"/>
      <c r="E93" s="7">
        <v>7</v>
      </c>
      <c r="F93" s="7"/>
      <c r="G93" s="7"/>
      <c r="H93" s="2"/>
    </row>
    <row r="94" spans="1:8" x14ac:dyDescent="0.55000000000000004">
      <c r="A94" s="4" t="s">
        <v>125</v>
      </c>
      <c r="B94" s="3">
        <v>1</v>
      </c>
      <c r="C94" s="4" t="s">
        <v>96</v>
      </c>
      <c r="D94" s="4"/>
      <c r="E94" s="7">
        <v>3</v>
      </c>
      <c r="F94" s="7"/>
      <c r="G94" s="7"/>
      <c r="H94" s="2"/>
    </row>
    <row r="95" spans="1:8" x14ac:dyDescent="0.55000000000000004">
      <c r="A95" s="18" t="s">
        <v>126</v>
      </c>
      <c r="B95" s="3">
        <v>8</v>
      </c>
      <c r="C95" s="4" t="s">
        <v>97</v>
      </c>
      <c r="D95" s="4" t="s">
        <v>166</v>
      </c>
      <c r="E95" s="7"/>
      <c r="F95" s="12">
        <f>168.43*1.2</f>
        <v>202.11600000000001</v>
      </c>
      <c r="G95" s="7">
        <f>168.43*1.2</f>
        <v>202.11600000000001</v>
      </c>
      <c r="H95" s="2"/>
    </row>
    <row r="96" spans="1:8" x14ac:dyDescent="0.55000000000000004">
      <c r="A96" s="18" t="s">
        <v>127</v>
      </c>
      <c r="B96" s="3">
        <v>8</v>
      </c>
      <c r="C96" s="4" t="s">
        <v>98</v>
      </c>
      <c r="D96" s="4" t="s">
        <v>166</v>
      </c>
      <c r="E96" s="7"/>
      <c r="F96" s="12">
        <f>168.43*1.2</f>
        <v>202.11600000000001</v>
      </c>
      <c r="G96" s="7">
        <f>168.43*1.2</f>
        <v>202.11600000000001</v>
      </c>
      <c r="H96" s="2"/>
    </row>
    <row r="97" spans="1:8" x14ac:dyDescent="0.55000000000000004">
      <c r="A97" s="19" t="s">
        <v>128</v>
      </c>
      <c r="B97" s="3">
        <v>16</v>
      </c>
      <c r="C97" s="4" t="s">
        <v>99</v>
      </c>
      <c r="D97" s="4" t="s">
        <v>166</v>
      </c>
      <c r="E97" s="7"/>
      <c r="F97" s="12">
        <f>100.1*1.2</f>
        <v>120.11999999999999</v>
      </c>
      <c r="G97" s="7">
        <f>100.1*1.2</f>
        <v>120.11999999999999</v>
      </c>
      <c r="H97" s="2"/>
    </row>
    <row r="98" spans="1:8" x14ac:dyDescent="0.55000000000000004">
      <c r="A98" s="19" t="s">
        <v>129</v>
      </c>
      <c r="B98" s="3">
        <v>1</v>
      </c>
      <c r="C98" s="4" t="s">
        <v>100</v>
      </c>
      <c r="D98" s="4"/>
      <c r="E98" s="7">
        <v>15.85</v>
      </c>
      <c r="F98" s="12">
        <f>19.22*1.2</f>
        <v>23.063999999999997</v>
      </c>
      <c r="G98" s="7">
        <f>19.22*1.2</f>
        <v>23.063999999999997</v>
      </c>
      <c r="H98" s="2"/>
    </row>
    <row r="99" spans="1:8" x14ac:dyDescent="0.55000000000000004">
      <c r="A99" s="22" t="s">
        <v>383</v>
      </c>
      <c r="B99" s="3">
        <v>1</v>
      </c>
      <c r="C99" s="4" t="s">
        <v>384</v>
      </c>
      <c r="D99" s="4"/>
      <c r="E99" s="7"/>
      <c r="F99" s="12">
        <f>0.75*1.2</f>
        <v>0.89999999999999991</v>
      </c>
      <c r="G99" s="7">
        <f>0.75*1.2</f>
        <v>0.89999999999999991</v>
      </c>
      <c r="H99" s="2"/>
    </row>
    <row r="100" spans="1:8" x14ac:dyDescent="0.55000000000000004">
      <c r="A100" s="4" t="s">
        <v>130</v>
      </c>
      <c r="B100" s="3">
        <v>1</v>
      </c>
      <c r="C100" s="4" t="s">
        <v>101</v>
      </c>
      <c r="D100" s="4"/>
      <c r="E100" s="7"/>
      <c r="F100" s="7"/>
      <c r="G100" s="7"/>
      <c r="H100" s="2"/>
    </row>
    <row r="101" spans="1:8" x14ac:dyDescent="0.55000000000000004">
      <c r="A101" s="4" t="s">
        <v>131</v>
      </c>
      <c r="B101" s="3">
        <v>4</v>
      </c>
      <c r="C101" s="4" t="s">
        <v>102</v>
      </c>
      <c r="D101" s="4" t="s">
        <v>189</v>
      </c>
      <c r="E101" s="7">
        <f>0.34*4</f>
        <v>1.36</v>
      </c>
      <c r="F101" s="7"/>
      <c r="G101" s="7"/>
      <c r="H101" s="2"/>
    </row>
    <row r="102" spans="1:8" x14ac:dyDescent="0.55000000000000004">
      <c r="A102" s="4" t="s">
        <v>132</v>
      </c>
      <c r="B102" s="3">
        <v>4</v>
      </c>
      <c r="C102" s="4" t="s">
        <v>103</v>
      </c>
      <c r="D102" s="4" t="s">
        <v>189</v>
      </c>
      <c r="E102" s="7">
        <f>0.34*4</f>
        <v>1.36</v>
      </c>
      <c r="F102" s="7"/>
      <c r="G102" s="7"/>
      <c r="H102" s="2"/>
    </row>
    <row r="103" spans="1:8" x14ac:dyDescent="0.55000000000000004">
      <c r="A103" s="4" t="s">
        <v>133</v>
      </c>
      <c r="B103" s="3">
        <v>2</v>
      </c>
      <c r="C103" s="4" t="s">
        <v>104</v>
      </c>
      <c r="D103" s="4"/>
      <c r="E103" s="7"/>
      <c r="F103" s="7"/>
      <c r="G103" s="7"/>
      <c r="H103" s="2"/>
    </row>
    <row r="104" spans="1:8" x14ac:dyDescent="0.55000000000000004">
      <c r="A104" s="4" t="s">
        <v>134</v>
      </c>
      <c r="B104" s="3">
        <v>2</v>
      </c>
      <c r="C104" s="4" t="s">
        <v>105</v>
      </c>
      <c r="D104" s="4"/>
      <c r="E104" s="7"/>
      <c r="F104" s="7"/>
      <c r="G104" s="7"/>
      <c r="H104" s="2"/>
    </row>
    <row r="105" spans="1:8" x14ac:dyDescent="0.55000000000000004">
      <c r="A105" s="4" t="s">
        <v>135</v>
      </c>
      <c r="B105" s="3">
        <v>2</v>
      </c>
      <c r="C105" s="4" t="s">
        <v>106</v>
      </c>
      <c r="D105" s="4"/>
      <c r="E105" s="7"/>
      <c r="F105" s="7"/>
      <c r="G105" s="7"/>
      <c r="H105" s="2"/>
    </row>
    <row r="106" spans="1:8" x14ac:dyDescent="0.55000000000000004">
      <c r="A106" s="4" t="s">
        <v>136</v>
      </c>
      <c r="B106" s="3">
        <v>2</v>
      </c>
      <c r="C106" s="4" t="s">
        <v>107</v>
      </c>
      <c r="D106" s="4"/>
      <c r="E106" s="7"/>
      <c r="F106" s="7"/>
      <c r="G106" s="7"/>
      <c r="H106" s="2"/>
    </row>
    <row r="107" spans="1:8" x14ac:dyDescent="0.55000000000000004">
      <c r="A107" s="4" t="s">
        <v>137</v>
      </c>
      <c r="B107" s="3">
        <v>2</v>
      </c>
      <c r="C107" s="4" t="s">
        <v>108</v>
      </c>
      <c r="D107" s="4"/>
      <c r="E107" s="7"/>
      <c r="F107" s="7"/>
      <c r="G107" s="7"/>
      <c r="H107" s="2"/>
    </row>
    <row r="108" spans="1:8" x14ac:dyDescent="0.55000000000000004">
      <c r="A108" s="4" t="s">
        <v>138</v>
      </c>
      <c r="B108" s="3">
        <v>2</v>
      </c>
      <c r="C108" s="4" t="s">
        <v>109</v>
      </c>
      <c r="D108" s="4"/>
      <c r="E108" s="7"/>
      <c r="F108" s="7"/>
      <c r="G108" s="7"/>
      <c r="H108" s="2"/>
    </row>
    <row r="109" spans="1:8" x14ac:dyDescent="0.55000000000000004">
      <c r="A109" s="4" t="s">
        <v>139</v>
      </c>
      <c r="B109" s="3">
        <v>2</v>
      </c>
      <c r="C109" s="4" t="s">
        <v>110</v>
      </c>
      <c r="D109" s="4"/>
      <c r="E109" s="7"/>
      <c r="F109" s="7"/>
      <c r="G109" s="7"/>
      <c r="H109" s="2"/>
    </row>
    <row r="110" spans="1:8" x14ac:dyDescent="0.55000000000000004">
      <c r="A110" s="4" t="s">
        <v>140</v>
      </c>
      <c r="B110" s="3">
        <v>1</v>
      </c>
      <c r="C110" s="4" t="s">
        <v>111</v>
      </c>
      <c r="D110" s="4"/>
      <c r="E110" s="7"/>
      <c r="F110" s="7"/>
      <c r="G110" s="7"/>
      <c r="H110" s="2"/>
    </row>
    <row r="111" spans="1:8" x14ac:dyDescent="0.55000000000000004">
      <c r="A111" s="4" t="s">
        <v>141</v>
      </c>
      <c r="B111" s="3">
        <v>1</v>
      </c>
      <c r="C111" s="4" t="s">
        <v>112</v>
      </c>
      <c r="D111" s="4"/>
      <c r="E111" s="7"/>
      <c r="F111" s="7"/>
      <c r="G111" s="7"/>
      <c r="H111" s="2"/>
    </row>
    <row r="112" spans="1:8" x14ac:dyDescent="0.55000000000000004">
      <c r="A112" s="4" t="s">
        <v>142</v>
      </c>
      <c r="B112" s="3">
        <v>1</v>
      </c>
      <c r="C112" s="4" t="s">
        <v>113</v>
      </c>
      <c r="D112" s="4"/>
      <c r="E112" s="7"/>
      <c r="F112" s="7"/>
      <c r="G112" s="7"/>
      <c r="H112" s="2"/>
    </row>
    <row r="113" spans="1:8" x14ac:dyDescent="0.55000000000000004">
      <c r="A113" s="4" t="s">
        <v>139</v>
      </c>
      <c r="B113" s="3">
        <v>1</v>
      </c>
      <c r="C113" s="4" t="s">
        <v>114</v>
      </c>
      <c r="D113" s="4"/>
      <c r="E113" s="7"/>
      <c r="F113" s="7"/>
      <c r="G113" s="7"/>
      <c r="H113" s="2"/>
    </row>
    <row r="114" spans="1:8" x14ac:dyDescent="0.55000000000000004">
      <c r="A114" s="4"/>
      <c r="B114" s="3"/>
      <c r="C114" s="4"/>
      <c r="D114" s="3"/>
      <c r="E114" s="7">
        <f>SUM(E72:E113)</f>
        <v>121.59999999999998</v>
      </c>
      <c r="F114" s="7">
        <f t="shared" ref="F114:G114" si="0">SUM(F72:F113)</f>
        <v>897.45600000000002</v>
      </c>
      <c r="G114" s="12">
        <f t="shared" si="0"/>
        <v>897.45600000000002</v>
      </c>
      <c r="H114" s="2"/>
    </row>
    <row r="115" spans="1:8" x14ac:dyDescent="0.55000000000000004">
      <c r="A115" s="4"/>
      <c r="B115" s="3"/>
      <c r="C115" s="4"/>
      <c r="D115" s="3"/>
      <c r="E115" s="7"/>
      <c r="F115" s="7"/>
      <c r="G115" s="7"/>
      <c r="H115" s="2"/>
    </row>
    <row r="116" spans="1:8" x14ac:dyDescent="0.55000000000000004">
      <c r="A116" s="15" t="s">
        <v>334</v>
      </c>
      <c r="B116" s="4"/>
      <c r="C116" s="4"/>
      <c r="D116" s="4"/>
      <c r="E116" s="7"/>
      <c r="F116" s="7"/>
      <c r="G116" s="7"/>
      <c r="H116" s="2"/>
    </row>
    <row r="117" spans="1:8" x14ac:dyDescent="0.55000000000000004">
      <c r="A117" s="19" t="s">
        <v>345</v>
      </c>
      <c r="B117" s="3">
        <v>1</v>
      </c>
      <c r="C117" s="3" t="s">
        <v>408</v>
      </c>
      <c r="D117" s="4" t="s">
        <v>166</v>
      </c>
      <c r="E117" s="12">
        <v>79.430000000000007</v>
      </c>
      <c r="F117" s="7">
        <f>106.37*1.2</f>
        <v>127.64400000000001</v>
      </c>
      <c r="G117" s="7">
        <f>E117</f>
        <v>79.430000000000007</v>
      </c>
      <c r="H117" s="2"/>
    </row>
    <row r="118" spans="1:8" x14ac:dyDescent="0.55000000000000004">
      <c r="A118" s="19" t="s">
        <v>406</v>
      </c>
      <c r="B118" s="3">
        <v>1</v>
      </c>
      <c r="C118" s="3" t="s">
        <v>409</v>
      </c>
      <c r="D118" s="4" t="s">
        <v>166</v>
      </c>
      <c r="E118" s="12">
        <v>81.02</v>
      </c>
      <c r="F118" s="7">
        <f>115.21*1.2</f>
        <v>138.25199999999998</v>
      </c>
      <c r="G118" s="7">
        <f>E118</f>
        <v>81.02</v>
      </c>
      <c r="H118" s="2"/>
    </row>
    <row r="119" spans="1:8" x14ac:dyDescent="0.55000000000000004">
      <c r="A119" s="19" t="s">
        <v>146</v>
      </c>
      <c r="B119" s="3">
        <v>1</v>
      </c>
      <c r="C119" s="3" t="s">
        <v>403</v>
      </c>
      <c r="D119" s="4"/>
      <c r="E119" s="7"/>
      <c r="F119" s="12">
        <f>14.59*1.2</f>
        <v>17.507999999999999</v>
      </c>
      <c r="G119" s="7">
        <f>14.59*1.2</f>
        <v>17.507999999999999</v>
      </c>
      <c r="H119" s="2"/>
    </row>
    <row r="120" spans="1:8" x14ac:dyDescent="0.55000000000000004">
      <c r="A120" s="4" t="s">
        <v>430</v>
      </c>
      <c r="B120" s="3">
        <v>32</v>
      </c>
      <c r="C120" s="4" t="s">
        <v>437</v>
      </c>
      <c r="D120" s="4" t="s">
        <v>281</v>
      </c>
      <c r="E120" s="7">
        <f>9.18*32</f>
        <v>293.76</v>
      </c>
      <c r="F120" s="7"/>
      <c r="G120" s="7"/>
      <c r="H120" s="2"/>
    </row>
    <row r="121" spans="1:8" x14ac:dyDescent="0.55000000000000004">
      <c r="A121" s="19" t="s">
        <v>350</v>
      </c>
      <c r="B121" s="3">
        <v>3</v>
      </c>
      <c r="C121" s="4" t="s">
        <v>188</v>
      </c>
      <c r="D121" s="4" t="s">
        <v>189</v>
      </c>
      <c r="E121" s="7">
        <f>5.48*3</f>
        <v>16.440000000000001</v>
      </c>
      <c r="F121" s="12">
        <f>14.72*1.2</f>
        <v>17.664000000000001</v>
      </c>
      <c r="G121" s="7">
        <f>14.72*1.2</f>
        <v>17.664000000000001</v>
      </c>
      <c r="H121" s="2"/>
    </row>
    <row r="122" spans="1:8" x14ac:dyDescent="0.55000000000000004">
      <c r="A122" s="19" t="s">
        <v>351</v>
      </c>
      <c r="B122" s="3">
        <v>1</v>
      </c>
      <c r="C122" s="4" t="s">
        <v>190</v>
      </c>
      <c r="D122" s="4" t="s">
        <v>191</v>
      </c>
      <c r="E122" s="7">
        <v>5.48</v>
      </c>
      <c r="F122" s="12">
        <f>4.91*1.2</f>
        <v>5.8920000000000003</v>
      </c>
      <c r="G122" s="7">
        <f>4.91*1.2</f>
        <v>5.8920000000000003</v>
      </c>
      <c r="H122" s="2"/>
    </row>
    <row r="123" spans="1:8" x14ac:dyDescent="0.55000000000000004">
      <c r="A123" s="19">
        <v>18107523805</v>
      </c>
      <c r="B123" s="3">
        <v>16</v>
      </c>
      <c r="C123" s="4" t="s">
        <v>192</v>
      </c>
      <c r="D123" s="4" t="s">
        <v>166</v>
      </c>
      <c r="E123" s="7"/>
      <c r="F123" s="12">
        <f>25.73*1.2</f>
        <v>30.875999999999998</v>
      </c>
      <c r="G123" s="7">
        <f>25.73*1.2</f>
        <v>30.875999999999998</v>
      </c>
      <c r="H123" s="2"/>
    </row>
    <row r="124" spans="1:8" x14ac:dyDescent="0.55000000000000004">
      <c r="A124" s="5" t="s">
        <v>361</v>
      </c>
      <c r="B124" s="3">
        <v>16</v>
      </c>
      <c r="C124" s="4" t="s">
        <v>193</v>
      </c>
      <c r="D124" s="4" t="s">
        <v>166</v>
      </c>
      <c r="E124" s="7"/>
      <c r="F124" s="7"/>
      <c r="G124" s="7"/>
      <c r="H124" s="2"/>
    </row>
    <row r="125" spans="1:8" x14ac:dyDescent="0.55000000000000004">
      <c r="A125" s="19" t="s">
        <v>352</v>
      </c>
      <c r="B125" s="3">
        <v>1</v>
      </c>
      <c r="C125" s="4" t="s">
        <v>196</v>
      </c>
      <c r="D125" s="4" t="s">
        <v>189</v>
      </c>
      <c r="E125" s="7">
        <v>17.38</v>
      </c>
      <c r="F125" s="12">
        <f>21.38*1.2</f>
        <v>25.655999999999999</v>
      </c>
      <c r="G125" s="7">
        <f>21.38*1.2</f>
        <v>25.655999999999999</v>
      </c>
      <c r="H125" s="2"/>
    </row>
    <row r="126" spans="1:8" x14ac:dyDescent="0.55000000000000004">
      <c r="A126" s="19" t="s">
        <v>353</v>
      </c>
      <c r="B126" s="3">
        <v>1</v>
      </c>
      <c r="C126" s="4" t="s">
        <v>197</v>
      </c>
      <c r="D126" s="4" t="s">
        <v>191</v>
      </c>
      <c r="E126" s="7">
        <v>7</v>
      </c>
      <c r="F126" s="12">
        <f>4.91*1.2</f>
        <v>5.8920000000000003</v>
      </c>
      <c r="G126" s="7">
        <f>4.91*1.2</f>
        <v>5.8920000000000003</v>
      </c>
      <c r="H126" s="2"/>
    </row>
    <row r="127" spans="1:8" x14ac:dyDescent="0.55000000000000004">
      <c r="A127" s="19">
        <v>11141405969</v>
      </c>
      <c r="B127" s="3">
        <v>1</v>
      </c>
      <c r="C127" s="16" t="s">
        <v>198</v>
      </c>
      <c r="D127" s="16" t="s">
        <v>478</v>
      </c>
      <c r="E127" s="12">
        <v>22.15</v>
      </c>
      <c r="F127" s="7">
        <f>6.7*1.2</f>
        <v>8.0399999999999991</v>
      </c>
      <c r="G127" s="7">
        <f>E127</f>
        <v>22.15</v>
      </c>
      <c r="H127" s="2"/>
    </row>
    <row r="128" spans="1:8" x14ac:dyDescent="0.55000000000000004">
      <c r="A128" s="4"/>
      <c r="B128" s="3"/>
      <c r="C128" s="4"/>
      <c r="D128" s="3"/>
      <c r="E128" s="7">
        <f>SUM(E117:E127)</f>
        <v>522.66</v>
      </c>
      <c r="F128" s="7">
        <f t="shared" ref="F128:G128" si="1">SUM(F117:F127)</f>
        <v>377.42399999999992</v>
      </c>
      <c r="G128" s="12">
        <f t="shared" si="1"/>
        <v>286.08799999999997</v>
      </c>
      <c r="H128" s="2"/>
    </row>
    <row r="129" spans="1:8" x14ac:dyDescent="0.55000000000000004">
      <c r="A129" s="4"/>
      <c r="B129" s="3"/>
      <c r="C129" s="4"/>
      <c r="D129" s="3"/>
      <c r="E129" s="7"/>
      <c r="F129" s="7"/>
      <c r="G129" s="7"/>
      <c r="H129" s="2"/>
    </row>
    <row r="130" spans="1:8" x14ac:dyDescent="0.55000000000000004">
      <c r="A130" s="4"/>
      <c r="B130" s="3"/>
      <c r="C130" s="3"/>
      <c r="D130" s="3"/>
      <c r="E130" s="7"/>
      <c r="F130" s="7"/>
      <c r="G130" s="7"/>
      <c r="H130" s="2"/>
    </row>
    <row r="131" spans="1:8" x14ac:dyDescent="0.55000000000000004">
      <c r="A131" s="15" t="s">
        <v>4</v>
      </c>
      <c r="B131" s="3"/>
      <c r="C131" s="3"/>
      <c r="D131" s="3" t="s">
        <v>82</v>
      </c>
      <c r="E131" s="12">
        <v>500</v>
      </c>
      <c r="F131" s="7"/>
      <c r="G131" s="12">
        <v>500</v>
      </c>
      <c r="H131" s="2"/>
    </row>
    <row r="132" spans="1:8" x14ac:dyDescent="0.55000000000000004">
      <c r="A132" s="4" t="s">
        <v>63</v>
      </c>
      <c r="B132" s="3">
        <v>8</v>
      </c>
      <c r="C132" s="3" t="s">
        <v>31</v>
      </c>
      <c r="D132" s="3" t="s">
        <v>166</v>
      </c>
      <c r="E132" s="7"/>
      <c r="F132" s="7"/>
      <c r="G132" s="7"/>
      <c r="H132" s="2"/>
    </row>
    <row r="133" spans="1:8" x14ac:dyDescent="0.55000000000000004">
      <c r="A133" s="4" t="s">
        <v>64</v>
      </c>
      <c r="B133" s="3">
        <v>8</v>
      </c>
      <c r="C133" s="3" t="s">
        <v>31</v>
      </c>
      <c r="D133" s="3" t="s">
        <v>166</v>
      </c>
      <c r="E133" s="7"/>
      <c r="F133" s="7"/>
      <c r="G133" s="7"/>
      <c r="H133" s="2"/>
    </row>
    <row r="134" spans="1:8" x14ac:dyDescent="0.55000000000000004">
      <c r="A134" s="4" t="s">
        <v>65</v>
      </c>
      <c r="B134" s="3">
        <v>2</v>
      </c>
      <c r="C134" s="3" t="s">
        <v>32</v>
      </c>
      <c r="D134" s="3" t="s">
        <v>191</v>
      </c>
      <c r="E134" s="7"/>
      <c r="F134" s="7"/>
      <c r="G134" s="7"/>
      <c r="H134" s="2"/>
    </row>
    <row r="135" spans="1:8" x14ac:dyDescent="0.55000000000000004">
      <c r="A135" s="4" t="s">
        <v>66</v>
      </c>
      <c r="B135" s="3">
        <v>4</v>
      </c>
      <c r="C135" s="3" t="s">
        <v>33</v>
      </c>
      <c r="D135" s="3" t="s">
        <v>166</v>
      </c>
      <c r="E135" s="7"/>
      <c r="F135" s="7"/>
      <c r="G135" s="7"/>
      <c r="H135" s="2"/>
    </row>
    <row r="136" spans="1:8" x14ac:dyDescent="0.55000000000000004">
      <c r="A136" s="4" t="s">
        <v>67</v>
      </c>
      <c r="B136" s="3">
        <v>2</v>
      </c>
      <c r="C136" s="3" t="s">
        <v>34</v>
      </c>
      <c r="D136" s="3" t="s">
        <v>166</v>
      </c>
      <c r="E136" s="7"/>
      <c r="F136" s="7"/>
      <c r="G136" s="7"/>
      <c r="H136" s="2"/>
    </row>
    <row r="137" spans="1:8" x14ac:dyDescent="0.55000000000000004">
      <c r="A137" s="4" t="s">
        <v>68</v>
      </c>
      <c r="B137" s="3">
        <v>2</v>
      </c>
      <c r="C137" s="3" t="s">
        <v>35</v>
      </c>
      <c r="D137" s="3" t="s">
        <v>166</v>
      </c>
      <c r="E137" s="7"/>
      <c r="F137" s="7"/>
      <c r="G137" s="7"/>
      <c r="H137" s="2"/>
    </row>
    <row r="138" spans="1:8" x14ac:dyDescent="0.55000000000000004">
      <c r="A138" s="4" t="s">
        <v>69</v>
      </c>
      <c r="B138" s="3">
        <v>4</v>
      </c>
      <c r="C138" s="3" t="s">
        <v>8</v>
      </c>
      <c r="D138" s="3" t="s">
        <v>204</v>
      </c>
      <c r="E138" s="7"/>
      <c r="F138" s="7"/>
      <c r="G138" s="7"/>
      <c r="H138" s="2"/>
    </row>
    <row r="139" spans="1:8" x14ac:dyDescent="0.55000000000000004">
      <c r="A139" s="4" t="s">
        <v>70</v>
      </c>
      <c r="B139" s="3">
        <v>2</v>
      </c>
      <c r="C139" s="3" t="s">
        <v>8</v>
      </c>
      <c r="D139" s="3" t="s">
        <v>204</v>
      </c>
      <c r="E139" s="7"/>
      <c r="F139" s="7"/>
      <c r="G139" s="7"/>
      <c r="H139" s="2"/>
    </row>
    <row r="140" spans="1:8" x14ac:dyDescent="0.55000000000000004">
      <c r="A140" s="4" t="s">
        <v>71</v>
      </c>
      <c r="B140" s="3">
        <v>2</v>
      </c>
      <c r="C140" s="3" t="s">
        <v>8</v>
      </c>
      <c r="D140" s="3" t="s">
        <v>204</v>
      </c>
      <c r="E140" s="7"/>
      <c r="F140" s="7"/>
      <c r="G140" s="7"/>
      <c r="H140" s="2"/>
    </row>
    <row r="141" spans="1:8" x14ac:dyDescent="0.55000000000000004">
      <c r="A141" s="4" t="s">
        <v>72</v>
      </c>
      <c r="B141" s="3">
        <v>2</v>
      </c>
      <c r="C141" s="3" t="s">
        <v>8</v>
      </c>
      <c r="D141" s="3" t="s">
        <v>204</v>
      </c>
      <c r="E141" s="7"/>
      <c r="F141" s="7"/>
      <c r="G141" s="7"/>
      <c r="H141" s="2"/>
    </row>
    <row r="142" spans="1:8" x14ac:dyDescent="0.55000000000000004">
      <c r="A142" s="4" t="s">
        <v>73</v>
      </c>
      <c r="B142" s="3">
        <v>2</v>
      </c>
      <c r="C142" s="3" t="s">
        <v>36</v>
      </c>
      <c r="D142" s="3" t="s">
        <v>204</v>
      </c>
      <c r="E142" s="7"/>
      <c r="F142" s="7"/>
      <c r="G142" s="7"/>
      <c r="H142" s="2"/>
    </row>
    <row r="143" spans="1:8" x14ac:dyDescent="0.55000000000000004">
      <c r="A143" s="4" t="s">
        <v>74</v>
      </c>
      <c r="B143" s="3">
        <v>1</v>
      </c>
      <c r="C143" s="3" t="s">
        <v>37</v>
      </c>
      <c r="D143" s="3" t="s">
        <v>335</v>
      </c>
      <c r="E143" s="7"/>
      <c r="F143" s="7"/>
      <c r="G143" s="7"/>
      <c r="H143" s="2"/>
    </row>
    <row r="144" spans="1:8" x14ac:dyDescent="0.55000000000000004">
      <c r="A144" s="4" t="s">
        <v>75</v>
      </c>
      <c r="B144" s="3">
        <v>1</v>
      </c>
      <c r="C144" s="3" t="s">
        <v>38</v>
      </c>
      <c r="D144" s="3" t="s">
        <v>204</v>
      </c>
      <c r="E144" s="7"/>
      <c r="F144" s="7"/>
      <c r="G144" s="7"/>
      <c r="H144" s="2"/>
    </row>
    <row r="145" spans="1:8" x14ac:dyDescent="0.55000000000000004">
      <c r="A145" s="4" t="s">
        <v>76</v>
      </c>
      <c r="B145" s="3">
        <v>1</v>
      </c>
      <c r="C145" s="3" t="s">
        <v>38</v>
      </c>
      <c r="D145" s="3" t="s">
        <v>204</v>
      </c>
      <c r="E145" s="7"/>
      <c r="F145" s="7"/>
      <c r="G145" s="7"/>
      <c r="H145" s="2"/>
    </row>
    <row r="146" spans="1:8" x14ac:dyDescent="0.55000000000000004">
      <c r="A146" s="5" t="s">
        <v>59</v>
      </c>
      <c r="B146" s="3">
        <v>6</v>
      </c>
      <c r="C146" s="3" t="s">
        <v>208</v>
      </c>
      <c r="D146" s="3" t="s">
        <v>166</v>
      </c>
      <c r="E146" s="7"/>
      <c r="F146" s="7"/>
      <c r="G146" s="7"/>
      <c r="H146" s="2"/>
    </row>
    <row r="147" spans="1:8" x14ac:dyDescent="0.55000000000000004">
      <c r="A147" s="5" t="s">
        <v>132</v>
      </c>
      <c r="B147" s="3">
        <v>4</v>
      </c>
      <c r="C147" s="3" t="s">
        <v>209</v>
      </c>
      <c r="D147" s="3" t="s">
        <v>166</v>
      </c>
      <c r="E147" s="7"/>
      <c r="F147" s="7"/>
      <c r="G147" s="7"/>
      <c r="H147" s="2"/>
    </row>
    <row r="148" spans="1:8" x14ac:dyDescent="0.55000000000000004">
      <c r="A148" s="5" t="s">
        <v>356</v>
      </c>
      <c r="B148" s="3">
        <v>1</v>
      </c>
      <c r="C148" s="3"/>
      <c r="D148" s="3" t="s">
        <v>166</v>
      </c>
      <c r="E148" s="7"/>
      <c r="F148" s="7"/>
      <c r="G148" s="7"/>
      <c r="H148" s="2"/>
    </row>
    <row r="149" spans="1:8" x14ac:dyDescent="0.55000000000000004">
      <c r="A149" s="5" t="s">
        <v>357</v>
      </c>
      <c r="B149" s="3">
        <v>4</v>
      </c>
      <c r="C149" s="3" t="s">
        <v>210</v>
      </c>
      <c r="D149" s="3" t="s">
        <v>166</v>
      </c>
      <c r="E149" s="7"/>
      <c r="F149" s="7"/>
      <c r="G149" s="7"/>
      <c r="H149" s="2"/>
    </row>
    <row r="150" spans="1:8" x14ac:dyDescent="0.55000000000000004">
      <c r="A150" s="5" t="s">
        <v>358</v>
      </c>
      <c r="B150" s="3">
        <v>24</v>
      </c>
      <c r="C150" s="3" t="s">
        <v>211</v>
      </c>
      <c r="D150" s="3" t="s">
        <v>166</v>
      </c>
      <c r="E150" s="7"/>
      <c r="F150" s="7"/>
      <c r="G150" s="7"/>
      <c r="H150" s="2"/>
    </row>
    <row r="151" spans="1:8" x14ac:dyDescent="0.55000000000000004">
      <c r="A151" s="5" t="s">
        <v>61</v>
      </c>
      <c r="B151" s="3">
        <v>24</v>
      </c>
      <c r="C151" s="3" t="s">
        <v>212</v>
      </c>
      <c r="D151" s="3" t="s">
        <v>166</v>
      </c>
      <c r="E151" s="7"/>
      <c r="F151" s="7"/>
      <c r="G151" s="7"/>
      <c r="H151" s="2"/>
    </row>
    <row r="152" spans="1:8" x14ac:dyDescent="0.55000000000000004">
      <c r="A152" s="4"/>
      <c r="B152" s="3"/>
      <c r="C152" s="3"/>
      <c r="D152" s="3"/>
      <c r="E152" s="7"/>
      <c r="F152" s="7"/>
      <c r="G152" s="7"/>
      <c r="H152" s="2"/>
    </row>
    <row r="153" spans="1:8" x14ac:dyDescent="0.55000000000000004">
      <c r="A153" s="4"/>
      <c r="B153" s="3"/>
      <c r="C153" s="3"/>
      <c r="D153" s="3"/>
      <c r="E153" s="7"/>
      <c r="F153" s="7"/>
      <c r="G153" s="7"/>
      <c r="H153" s="2"/>
    </row>
    <row r="154" spans="1:8" x14ac:dyDescent="0.55000000000000004">
      <c r="A154" s="4"/>
      <c r="B154" s="3"/>
      <c r="C154" s="3"/>
      <c r="D154" s="3"/>
      <c r="E154" s="7"/>
      <c r="F154" s="7"/>
      <c r="G154" s="7"/>
      <c r="H154" s="2"/>
    </row>
    <row r="155" spans="1:8" x14ac:dyDescent="0.55000000000000004">
      <c r="A155" s="15" t="s">
        <v>5</v>
      </c>
      <c r="B155" s="3"/>
      <c r="C155" s="3"/>
      <c r="D155" s="3"/>
      <c r="E155" s="7"/>
      <c r="F155" s="7"/>
      <c r="G155" s="7"/>
      <c r="H155" s="2"/>
    </row>
    <row r="156" spans="1:8" x14ac:dyDescent="0.55000000000000004">
      <c r="A156" s="4" t="s">
        <v>77</v>
      </c>
      <c r="B156" s="3">
        <v>1</v>
      </c>
      <c r="C156" s="3" t="s">
        <v>44</v>
      </c>
      <c r="D156" s="3"/>
      <c r="E156" s="7">
        <v>28.46</v>
      </c>
      <c r="F156" s="7"/>
      <c r="G156" s="7"/>
      <c r="H156" s="2"/>
    </row>
    <row r="157" spans="1:8" x14ac:dyDescent="0.55000000000000004">
      <c r="A157" s="4" t="s">
        <v>78</v>
      </c>
      <c r="B157" s="3">
        <v>1</v>
      </c>
      <c r="C157" s="3" t="s">
        <v>43</v>
      </c>
      <c r="D157" s="3" t="s">
        <v>482</v>
      </c>
      <c r="E157" s="7">
        <v>300</v>
      </c>
      <c r="F157" s="7"/>
      <c r="G157" s="7"/>
      <c r="H157" s="2"/>
    </row>
    <row r="158" spans="1:8" x14ac:dyDescent="0.55000000000000004">
      <c r="A158" s="10" t="s">
        <v>79</v>
      </c>
      <c r="B158" s="3">
        <v>1</v>
      </c>
      <c r="C158" s="3" t="s">
        <v>42</v>
      </c>
      <c r="D158" s="3" t="s">
        <v>166</v>
      </c>
      <c r="E158" s="7"/>
      <c r="F158" s="7">
        <f>436.79*1.2</f>
        <v>524.14800000000002</v>
      </c>
      <c r="G158" s="7"/>
      <c r="H158" s="2"/>
    </row>
    <row r="159" spans="1:8" x14ac:dyDescent="0.55000000000000004">
      <c r="A159" s="19" t="s">
        <v>80</v>
      </c>
      <c r="B159" s="3">
        <v>1</v>
      </c>
      <c r="C159" s="3" t="s">
        <v>41</v>
      </c>
      <c r="D159" s="3" t="s">
        <v>184</v>
      </c>
      <c r="E159" s="7">
        <v>55.18</v>
      </c>
      <c r="F159" s="12">
        <f>60.79*1.2</f>
        <v>72.947999999999993</v>
      </c>
      <c r="G159" s="7">
        <f>60.79*1.2</f>
        <v>72.947999999999993</v>
      </c>
      <c r="H159" s="2"/>
    </row>
    <row r="160" spans="1:8" x14ac:dyDescent="0.55000000000000004">
      <c r="A160" s="19" t="s">
        <v>81</v>
      </c>
      <c r="B160" s="3">
        <v>1</v>
      </c>
      <c r="C160" s="3" t="s">
        <v>40</v>
      </c>
      <c r="D160" s="3" t="s">
        <v>189</v>
      </c>
      <c r="E160" s="7">
        <v>12.04</v>
      </c>
      <c r="F160" s="12">
        <f>8.7*1.2</f>
        <v>10.44</v>
      </c>
      <c r="G160" s="7">
        <f>8.7*1.2</f>
        <v>10.44</v>
      </c>
      <c r="H160" s="2"/>
    </row>
    <row r="161" spans="1:8" x14ac:dyDescent="0.55000000000000004">
      <c r="A161" s="22" t="s">
        <v>354</v>
      </c>
      <c r="B161" s="3">
        <v>2</v>
      </c>
      <c r="C161" s="3" t="s">
        <v>234</v>
      </c>
      <c r="D161" s="3" t="s">
        <v>166</v>
      </c>
      <c r="E161" s="7">
        <f>6.9*2</f>
        <v>13.8</v>
      </c>
      <c r="F161" s="12">
        <f>0.47*1.2</f>
        <v>0.56399999999999995</v>
      </c>
      <c r="G161" s="7">
        <f>0.47*1.2</f>
        <v>0.56399999999999995</v>
      </c>
      <c r="H161" s="2"/>
    </row>
    <row r="162" spans="1:8" x14ac:dyDescent="0.55000000000000004">
      <c r="A162" s="4">
        <v>11441406691</v>
      </c>
      <c r="B162" s="3">
        <v>2</v>
      </c>
      <c r="C162" s="3" t="s">
        <v>267</v>
      </c>
      <c r="D162" s="3" t="s">
        <v>166</v>
      </c>
      <c r="E162" s="7"/>
      <c r="F162" s="7"/>
      <c r="G162" s="7"/>
      <c r="H162" s="2"/>
    </row>
    <row r="163" spans="1:8" x14ac:dyDescent="0.55000000000000004">
      <c r="A163" s="4">
        <v>11441406694</v>
      </c>
      <c r="B163" s="3">
        <v>1</v>
      </c>
      <c r="C163" s="3" t="s">
        <v>268</v>
      </c>
      <c r="D163" s="3" t="s">
        <v>166</v>
      </c>
      <c r="E163" s="7"/>
      <c r="F163" s="7"/>
      <c r="G163" s="7"/>
      <c r="H163" s="2"/>
    </row>
    <row r="164" spans="1:8" x14ac:dyDescent="0.55000000000000004">
      <c r="A164" s="4">
        <v>11441406693</v>
      </c>
      <c r="B164" s="3">
        <v>1</v>
      </c>
      <c r="C164" s="3"/>
      <c r="D164" s="3" t="s">
        <v>166</v>
      </c>
      <c r="E164" s="7"/>
      <c r="F164" s="7"/>
      <c r="G164" s="7"/>
      <c r="H164" s="2"/>
    </row>
    <row r="165" spans="1:8" x14ac:dyDescent="0.55000000000000004">
      <c r="A165" s="4">
        <v>11441406702</v>
      </c>
      <c r="B165" s="3">
        <v>1</v>
      </c>
      <c r="C165" s="3"/>
      <c r="D165" s="3" t="s">
        <v>166</v>
      </c>
      <c r="E165" s="7"/>
      <c r="F165" s="7"/>
      <c r="G165" s="7"/>
      <c r="H165" s="2"/>
    </row>
    <row r="166" spans="1:8" x14ac:dyDescent="0.55000000000000004">
      <c r="A166" s="16" t="s">
        <v>489</v>
      </c>
      <c r="B166" s="17">
        <v>1</v>
      </c>
      <c r="C166" s="17" t="s">
        <v>183</v>
      </c>
      <c r="D166" s="3" t="s">
        <v>184</v>
      </c>
      <c r="E166" s="7">
        <v>120.16</v>
      </c>
      <c r="F166" s="7">
        <v>158</v>
      </c>
      <c r="G166" s="7"/>
      <c r="H166" s="2"/>
    </row>
    <row r="167" spans="1:8" x14ac:dyDescent="0.55000000000000004">
      <c r="A167" s="16" t="s">
        <v>488</v>
      </c>
      <c r="B167" s="17">
        <v>1</v>
      </c>
      <c r="C167" s="17" t="s">
        <v>185</v>
      </c>
      <c r="D167" s="3" t="s">
        <v>166</v>
      </c>
      <c r="E167" s="7"/>
      <c r="F167" s="7">
        <v>41</v>
      </c>
      <c r="G167" s="7"/>
      <c r="H167" s="2"/>
    </row>
    <row r="168" spans="1:8" x14ac:dyDescent="0.55000000000000004">
      <c r="A168" s="18" t="s">
        <v>365</v>
      </c>
      <c r="B168" s="24">
        <v>1</v>
      </c>
      <c r="C168" s="24" t="s">
        <v>435</v>
      </c>
      <c r="D168" s="3" t="s">
        <v>184</v>
      </c>
      <c r="E168" s="7">
        <v>120.33</v>
      </c>
      <c r="F168" s="7">
        <f>162.15*1.2</f>
        <v>194.58</v>
      </c>
      <c r="G168" s="7"/>
      <c r="H168" s="2"/>
    </row>
    <row r="169" spans="1:8" x14ac:dyDescent="0.55000000000000004">
      <c r="A169" s="18" t="s">
        <v>434</v>
      </c>
      <c r="B169" s="24">
        <v>1</v>
      </c>
      <c r="C169" s="24" t="s">
        <v>436</v>
      </c>
      <c r="D169" s="3"/>
      <c r="E169" s="7">
        <v>40</v>
      </c>
      <c r="F169" s="7">
        <f>75.79*1.2</f>
        <v>90.948000000000008</v>
      </c>
      <c r="G169" s="7"/>
      <c r="H169" s="2"/>
    </row>
    <row r="170" spans="1:8" x14ac:dyDescent="0.55000000000000004">
      <c r="A170" s="16" t="s">
        <v>355</v>
      </c>
      <c r="B170" s="17">
        <v>8</v>
      </c>
      <c r="C170" s="17" t="s">
        <v>39</v>
      </c>
      <c r="D170" s="3" t="s">
        <v>347</v>
      </c>
      <c r="E170" s="7">
        <f>10.11*8</f>
        <v>80.88</v>
      </c>
      <c r="F170" s="7">
        <f>92.07*1.2</f>
        <v>110.48399999999999</v>
      </c>
      <c r="G170" s="7"/>
      <c r="H170" s="2"/>
    </row>
    <row r="171" spans="1:8" x14ac:dyDescent="0.55000000000000004">
      <c r="A171" s="16" t="s">
        <v>346</v>
      </c>
      <c r="B171" s="17">
        <v>1</v>
      </c>
      <c r="C171" s="17" t="s">
        <v>186</v>
      </c>
      <c r="D171" s="3" t="s">
        <v>187</v>
      </c>
      <c r="E171" s="7"/>
      <c r="F171" s="7">
        <f>84.68*1.2</f>
        <v>101.616</v>
      </c>
      <c r="G171" s="7"/>
      <c r="H171" s="2"/>
    </row>
    <row r="172" spans="1:8" x14ac:dyDescent="0.55000000000000004">
      <c r="A172" s="16">
        <v>12147539173</v>
      </c>
      <c r="B172" s="17">
        <v>2</v>
      </c>
      <c r="C172" s="17" t="s">
        <v>299</v>
      </c>
      <c r="D172" s="3" t="s">
        <v>187</v>
      </c>
      <c r="E172" s="7"/>
      <c r="F172" s="7">
        <f>203.75*1.2</f>
        <v>244.5</v>
      </c>
      <c r="G172" s="7"/>
      <c r="H172" s="2"/>
    </row>
    <row r="173" spans="1:8" x14ac:dyDescent="0.55000000000000004">
      <c r="A173" s="16">
        <v>13627796054</v>
      </c>
      <c r="B173" s="17">
        <v>2</v>
      </c>
      <c r="C173" s="17" t="s">
        <v>300</v>
      </c>
      <c r="D173" s="3" t="s">
        <v>187</v>
      </c>
      <c r="E173" s="7"/>
      <c r="F173" s="7">
        <f>209.35*1.2</f>
        <v>251.21999999999997</v>
      </c>
      <c r="G173" s="7"/>
      <c r="H173" s="2"/>
    </row>
    <row r="174" spans="1:8" x14ac:dyDescent="0.55000000000000004">
      <c r="A174" s="16" t="s">
        <v>415</v>
      </c>
      <c r="B174" s="17">
        <v>2</v>
      </c>
      <c r="C174" s="16" t="s">
        <v>416</v>
      </c>
      <c r="D174" s="3" t="s">
        <v>187</v>
      </c>
      <c r="E174" s="7"/>
      <c r="F174" s="7">
        <f>368.04*1.2</f>
        <v>441.64800000000002</v>
      </c>
      <c r="G174" s="7"/>
      <c r="H174" s="2"/>
    </row>
    <row r="175" spans="1:8" x14ac:dyDescent="0.55000000000000004">
      <c r="A175" s="19">
        <v>64508375741</v>
      </c>
      <c r="B175" s="3">
        <v>3</v>
      </c>
      <c r="C175" s="4" t="s">
        <v>321</v>
      </c>
      <c r="D175" s="3" t="s">
        <v>166</v>
      </c>
      <c r="E175" s="7"/>
      <c r="F175" s="12">
        <f>5.12*1.2</f>
        <v>6.1440000000000001</v>
      </c>
      <c r="G175" s="7">
        <f>5.12*1.2</f>
        <v>6.1440000000000001</v>
      </c>
      <c r="H175" s="2"/>
    </row>
    <row r="176" spans="1:8" x14ac:dyDescent="0.55000000000000004">
      <c r="A176" s="19" t="s">
        <v>366</v>
      </c>
      <c r="B176" s="20">
        <v>4</v>
      </c>
      <c r="C176" s="19" t="s">
        <v>143</v>
      </c>
      <c r="D176" s="20" t="s">
        <v>322</v>
      </c>
      <c r="E176" s="12">
        <v>20.190000000000001</v>
      </c>
      <c r="F176" s="7">
        <f>14.69*1.2</f>
        <v>17.628</v>
      </c>
      <c r="G176" s="7">
        <f>E176</f>
        <v>20.190000000000001</v>
      </c>
      <c r="H176" s="2"/>
    </row>
    <row r="177" spans="1:8" x14ac:dyDescent="0.55000000000000004">
      <c r="A177" s="4" t="s">
        <v>367</v>
      </c>
      <c r="B177" s="3">
        <v>1</v>
      </c>
      <c r="C177" s="4" t="s">
        <v>323</v>
      </c>
      <c r="D177" s="3" t="s">
        <v>324</v>
      </c>
      <c r="E177" s="7">
        <v>27.66</v>
      </c>
      <c r="F177" s="7"/>
      <c r="G177" s="7"/>
      <c r="H177" s="2"/>
    </row>
    <row r="178" spans="1:8" x14ac:dyDescent="0.55000000000000004">
      <c r="A178" s="4" t="s">
        <v>368</v>
      </c>
      <c r="B178" s="3">
        <v>2</v>
      </c>
      <c r="C178" s="4" t="s">
        <v>325</v>
      </c>
      <c r="D178" s="3" t="s">
        <v>322</v>
      </c>
      <c r="E178" s="7">
        <v>2</v>
      </c>
      <c r="F178" s="7"/>
      <c r="G178" s="7"/>
      <c r="H178" s="2"/>
    </row>
    <row r="179" spans="1:8" x14ac:dyDescent="0.55000000000000004">
      <c r="A179" s="19" t="s">
        <v>369</v>
      </c>
      <c r="B179" s="3">
        <v>2</v>
      </c>
      <c r="C179" s="4" t="s">
        <v>326</v>
      </c>
      <c r="D179" s="3" t="s">
        <v>222</v>
      </c>
      <c r="E179" s="12">
        <v>13.26</v>
      </c>
      <c r="F179" s="7">
        <f>54.98*1.2</f>
        <v>65.975999999999999</v>
      </c>
      <c r="G179" s="7">
        <f>E179</f>
        <v>13.26</v>
      </c>
      <c r="H179" s="2"/>
    </row>
    <row r="180" spans="1:8" x14ac:dyDescent="0.55000000000000004">
      <c r="A180" s="19">
        <v>22316760944</v>
      </c>
      <c r="B180" s="3">
        <v>2</v>
      </c>
      <c r="C180" s="4" t="s">
        <v>327</v>
      </c>
      <c r="D180" s="3" t="s">
        <v>166</v>
      </c>
      <c r="E180" s="7"/>
      <c r="F180" s="12">
        <f>1.64*1.2</f>
        <v>1.9679999999999997</v>
      </c>
      <c r="G180" s="7">
        <f>1.64*1.2</f>
        <v>1.9679999999999997</v>
      </c>
      <c r="H180" s="2"/>
    </row>
    <row r="181" spans="1:8" x14ac:dyDescent="0.55000000000000004">
      <c r="A181" s="22" t="s">
        <v>359</v>
      </c>
      <c r="B181" s="3">
        <v>2</v>
      </c>
      <c r="C181" s="4" t="s">
        <v>328</v>
      </c>
      <c r="D181" s="3" t="s">
        <v>166</v>
      </c>
      <c r="E181" s="7"/>
      <c r="F181" s="12">
        <f>2*1.2</f>
        <v>2.4</v>
      </c>
      <c r="G181" s="7">
        <f>2*1.2</f>
        <v>2.4</v>
      </c>
      <c r="H181" s="2"/>
    </row>
    <row r="182" spans="1:8" x14ac:dyDescent="0.55000000000000004">
      <c r="A182" s="22" t="s">
        <v>360</v>
      </c>
      <c r="B182" s="3">
        <v>6</v>
      </c>
      <c r="C182" s="4" t="s">
        <v>329</v>
      </c>
      <c r="D182" s="3" t="s">
        <v>166</v>
      </c>
      <c r="E182" s="7"/>
      <c r="F182" s="12">
        <f>4.47*1.2</f>
        <v>5.3639999999999999</v>
      </c>
      <c r="G182" s="7">
        <f>4.47*1.2</f>
        <v>5.3639999999999999</v>
      </c>
      <c r="H182" s="2"/>
    </row>
    <row r="183" spans="1:8" x14ac:dyDescent="0.55000000000000004">
      <c r="A183" s="19">
        <v>12311718712</v>
      </c>
      <c r="B183" s="3">
        <v>2</v>
      </c>
      <c r="C183" s="4" t="s">
        <v>332</v>
      </c>
      <c r="D183" s="3" t="s">
        <v>166</v>
      </c>
      <c r="E183" s="7"/>
      <c r="F183" s="12">
        <f>3.65*1.2</f>
        <v>4.38</v>
      </c>
      <c r="G183" s="7">
        <f>3.65*1.2</f>
        <v>4.38</v>
      </c>
      <c r="H183" s="2"/>
    </row>
    <row r="184" spans="1:8" x14ac:dyDescent="0.55000000000000004">
      <c r="A184" s="16" t="s">
        <v>411</v>
      </c>
      <c r="B184" s="17">
        <v>1</v>
      </c>
      <c r="C184" s="16" t="s">
        <v>410</v>
      </c>
      <c r="D184" s="3" t="s">
        <v>288</v>
      </c>
      <c r="E184" s="7">
        <v>30.18</v>
      </c>
      <c r="F184" s="7">
        <f>290.14*1.2</f>
        <v>348.16799999999995</v>
      </c>
      <c r="G184" s="7"/>
      <c r="H184" s="2"/>
    </row>
    <row r="185" spans="1:8" x14ac:dyDescent="0.55000000000000004">
      <c r="A185" s="16" t="s">
        <v>412</v>
      </c>
      <c r="B185" s="17">
        <v>1</v>
      </c>
      <c r="C185" s="16" t="s">
        <v>413</v>
      </c>
      <c r="D185" s="3" t="s">
        <v>288</v>
      </c>
      <c r="E185" s="7">
        <v>30.18</v>
      </c>
      <c r="F185" s="7">
        <f>290.14*1.2</f>
        <v>348.16799999999995</v>
      </c>
      <c r="G185" s="7"/>
      <c r="H185" s="2"/>
    </row>
    <row r="186" spans="1:8" x14ac:dyDescent="0.55000000000000004">
      <c r="A186" s="4"/>
      <c r="B186" s="4"/>
      <c r="C186" s="4" t="s">
        <v>144</v>
      </c>
      <c r="D186" s="4"/>
      <c r="E186" s="7"/>
      <c r="F186" s="7"/>
      <c r="G186" s="7"/>
      <c r="H186" s="2"/>
    </row>
    <row r="187" spans="1:8" x14ac:dyDescent="0.55000000000000004">
      <c r="A187" s="19" t="s">
        <v>370</v>
      </c>
      <c r="B187" s="20">
        <v>1</v>
      </c>
      <c r="C187" s="19" t="s">
        <v>157</v>
      </c>
      <c r="D187" s="19" t="s">
        <v>471</v>
      </c>
      <c r="E187" s="12">
        <v>265.07</v>
      </c>
      <c r="F187" s="7">
        <f>551.14*1.2</f>
        <v>661.36799999999994</v>
      </c>
      <c r="G187" s="7">
        <f>E187</f>
        <v>265.07</v>
      </c>
      <c r="H187" s="2"/>
    </row>
    <row r="188" spans="1:8" x14ac:dyDescent="0.55000000000000004">
      <c r="A188" s="19" t="s">
        <v>433</v>
      </c>
      <c r="B188" s="20">
        <v>1</v>
      </c>
      <c r="C188" s="19" t="s">
        <v>159</v>
      </c>
      <c r="D188" s="19" t="s">
        <v>432</v>
      </c>
      <c r="E188" s="12">
        <v>27</v>
      </c>
      <c r="F188" s="7"/>
      <c r="G188" s="7">
        <f>E188</f>
        <v>27</v>
      </c>
      <c r="H188" s="2"/>
    </row>
    <row r="189" spans="1:8" x14ac:dyDescent="0.55000000000000004">
      <c r="A189" s="16">
        <v>21511223328</v>
      </c>
      <c r="B189" s="3">
        <v>1</v>
      </c>
      <c r="C189" s="4" t="s">
        <v>330</v>
      </c>
      <c r="D189" s="3" t="s">
        <v>431</v>
      </c>
      <c r="E189" s="7"/>
      <c r="F189" s="7">
        <f>3.79*1.2</f>
        <v>4.548</v>
      </c>
      <c r="G189" s="7"/>
      <c r="H189" s="2"/>
    </row>
    <row r="190" spans="1:8" x14ac:dyDescent="0.55000000000000004">
      <c r="A190" s="4">
        <v>21517570284</v>
      </c>
      <c r="B190" s="3">
        <v>1</v>
      </c>
      <c r="C190" s="4" t="s">
        <v>331</v>
      </c>
      <c r="D190" s="3" t="s">
        <v>166</v>
      </c>
      <c r="E190" s="7"/>
      <c r="F190" s="7"/>
      <c r="G190" s="7"/>
      <c r="H190" s="2"/>
    </row>
    <row r="191" spans="1:8" x14ac:dyDescent="0.55000000000000004">
      <c r="A191" s="19" t="s">
        <v>371</v>
      </c>
      <c r="B191" s="3">
        <v>1</v>
      </c>
      <c r="C191" s="4" t="s">
        <v>162</v>
      </c>
      <c r="D191" s="4" t="s">
        <v>163</v>
      </c>
      <c r="E191" s="7">
        <v>7</v>
      </c>
      <c r="F191" s="12">
        <f>12.54*1.2</f>
        <v>15.047999999999998</v>
      </c>
      <c r="G191" s="7">
        <f>12.54*1.2</f>
        <v>15.047999999999998</v>
      </c>
      <c r="H191" s="2"/>
    </row>
    <row r="192" spans="1:8" x14ac:dyDescent="0.55000000000000004">
      <c r="A192" s="4" t="s">
        <v>372</v>
      </c>
      <c r="B192" s="3">
        <v>1</v>
      </c>
      <c r="C192" s="4" t="s">
        <v>164</v>
      </c>
      <c r="D192" s="4" t="s">
        <v>333</v>
      </c>
      <c r="E192" s="7">
        <v>671.83</v>
      </c>
      <c r="F192" s="7"/>
      <c r="G192" s="7"/>
      <c r="H192" s="2"/>
    </row>
    <row r="193" spans="1:8" x14ac:dyDescent="0.55000000000000004">
      <c r="A193" s="4" t="s">
        <v>461</v>
      </c>
      <c r="B193" s="3">
        <v>1</v>
      </c>
      <c r="C193" s="4" t="s">
        <v>165</v>
      </c>
      <c r="D193" s="4" t="s">
        <v>166</v>
      </c>
      <c r="E193" s="7"/>
      <c r="F193" s="7"/>
      <c r="G193" s="7"/>
      <c r="H193" s="2"/>
    </row>
    <row r="194" spans="1:8" x14ac:dyDescent="0.55000000000000004">
      <c r="A194" s="4" t="s">
        <v>462</v>
      </c>
      <c r="B194" s="3">
        <v>1</v>
      </c>
      <c r="C194" s="4" t="s">
        <v>167</v>
      </c>
      <c r="D194" s="4" t="s">
        <v>166</v>
      </c>
      <c r="E194" s="7"/>
      <c r="F194" s="7"/>
      <c r="G194" s="7"/>
      <c r="H194" s="2"/>
    </row>
    <row r="195" spans="1:8" x14ac:dyDescent="0.55000000000000004">
      <c r="A195" s="4" t="s">
        <v>463</v>
      </c>
      <c r="B195" s="3">
        <v>1</v>
      </c>
      <c r="C195" s="4" t="s">
        <v>168</v>
      </c>
      <c r="D195" s="4" t="s">
        <v>166</v>
      </c>
      <c r="E195" s="7"/>
      <c r="F195" s="7"/>
      <c r="G195" s="7"/>
      <c r="H195" s="2"/>
    </row>
    <row r="196" spans="1:8" x14ac:dyDescent="0.55000000000000004">
      <c r="A196" s="18" t="s">
        <v>438</v>
      </c>
      <c r="B196" s="24">
        <v>1</v>
      </c>
      <c r="C196" s="18" t="s">
        <v>441</v>
      </c>
      <c r="D196" s="4" t="s">
        <v>166</v>
      </c>
      <c r="E196" s="7"/>
      <c r="F196" s="7">
        <f>9.95*1.2</f>
        <v>11.94</v>
      </c>
      <c r="G196" s="7"/>
      <c r="H196" s="2"/>
    </row>
    <row r="197" spans="1:8" x14ac:dyDescent="0.55000000000000004">
      <c r="A197" s="18" t="s">
        <v>439</v>
      </c>
      <c r="B197" s="24">
        <v>1</v>
      </c>
      <c r="C197" s="18" t="s">
        <v>440</v>
      </c>
      <c r="D197" s="4" t="s">
        <v>166</v>
      </c>
      <c r="E197" s="7"/>
      <c r="F197" s="7">
        <f>61.29*1.2</f>
        <v>73.548000000000002</v>
      </c>
      <c r="G197" s="7"/>
      <c r="H197" s="2"/>
    </row>
    <row r="198" spans="1:8" x14ac:dyDescent="0.55000000000000004">
      <c r="A198" s="18" t="s">
        <v>442</v>
      </c>
      <c r="B198" s="24">
        <v>1</v>
      </c>
      <c r="C198" s="18" t="s">
        <v>443</v>
      </c>
      <c r="D198" s="4" t="s">
        <v>166</v>
      </c>
      <c r="E198" s="7"/>
      <c r="F198" s="7">
        <f>57.64*1.2</f>
        <v>69.167999999999992</v>
      </c>
      <c r="G198" s="7"/>
      <c r="H198" s="2"/>
    </row>
    <row r="199" spans="1:8" x14ac:dyDescent="0.55000000000000004">
      <c r="A199" s="18" t="s">
        <v>445</v>
      </c>
      <c r="B199" s="24">
        <v>1</v>
      </c>
      <c r="C199" s="18" t="s">
        <v>444</v>
      </c>
      <c r="D199" s="4" t="s">
        <v>166</v>
      </c>
      <c r="E199" s="7"/>
      <c r="F199" s="7">
        <f>19.77*1.2</f>
        <v>23.724</v>
      </c>
      <c r="G199" s="7"/>
      <c r="H199" s="2"/>
    </row>
    <row r="200" spans="1:8" x14ac:dyDescent="0.55000000000000004">
      <c r="A200" s="18" t="s">
        <v>446</v>
      </c>
      <c r="B200" s="24">
        <v>4</v>
      </c>
      <c r="C200" s="18" t="s">
        <v>451</v>
      </c>
      <c r="D200" s="4" t="s">
        <v>166</v>
      </c>
      <c r="E200" s="7"/>
      <c r="F200" s="7">
        <f>3.95*1.2</f>
        <v>4.74</v>
      </c>
      <c r="G200" s="7"/>
      <c r="H200" s="2"/>
    </row>
    <row r="201" spans="1:8" x14ac:dyDescent="0.55000000000000004">
      <c r="A201" s="18" t="s">
        <v>447</v>
      </c>
      <c r="B201" s="24">
        <v>1</v>
      </c>
      <c r="C201" s="18" t="s">
        <v>448</v>
      </c>
      <c r="D201" s="4" t="s">
        <v>166</v>
      </c>
      <c r="E201" s="7"/>
      <c r="F201" s="7">
        <f>27.89*1.2</f>
        <v>33.467999999999996</v>
      </c>
      <c r="G201" s="7"/>
      <c r="H201" s="2"/>
    </row>
    <row r="202" spans="1:8" x14ac:dyDescent="0.55000000000000004">
      <c r="A202" s="18" t="s">
        <v>449</v>
      </c>
      <c r="B202" s="24">
        <v>1</v>
      </c>
      <c r="C202" s="18" t="s">
        <v>35</v>
      </c>
      <c r="D202" s="4" t="s">
        <v>166</v>
      </c>
      <c r="E202" s="7"/>
      <c r="F202" s="7">
        <f>0.37*1.2</f>
        <v>0.44400000000000001</v>
      </c>
      <c r="G202" s="7"/>
      <c r="H202" s="2"/>
    </row>
    <row r="203" spans="1:8" x14ac:dyDescent="0.55000000000000004">
      <c r="A203" s="18" t="s">
        <v>450</v>
      </c>
      <c r="B203" s="24">
        <v>1</v>
      </c>
      <c r="C203" s="18" t="s">
        <v>452</v>
      </c>
      <c r="D203" s="4" t="s">
        <v>166</v>
      </c>
      <c r="E203" s="7"/>
      <c r="F203" s="7">
        <f>2.17*1.2</f>
        <v>2.6039999999999996</v>
      </c>
      <c r="G203" s="7"/>
      <c r="H203" s="2"/>
    </row>
    <row r="204" spans="1:8" x14ac:dyDescent="0.55000000000000004">
      <c r="A204" s="18" t="s">
        <v>453</v>
      </c>
      <c r="B204" s="24">
        <v>1</v>
      </c>
      <c r="C204" s="18" t="s">
        <v>454</v>
      </c>
      <c r="D204" s="4" t="s">
        <v>166</v>
      </c>
      <c r="E204" s="7"/>
      <c r="F204" s="7">
        <f>0.75*1.2</f>
        <v>0.89999999999999991</v>
      </c>
      <c r="G204" s="7"/>
      <c r="H204" s="2"/>
    </row>
    <row r="205" spans="1:8" x14ac:dyDescent="0.55000000000000004">
      <c r="A205" s="18" t="s">
        <v>455</v>
      </c>
      <c r="B205" s="24">
        <v>1</v>
      </c>
      <c r="C205" s="18" t="s">
        <v>458</v>
      </c>
      <c r="D205" s="4" t="s">
        <v>166</v>
      </c>
      <c r="E205" s="7"/>
      <c r="F205" s="7">
        <f>3.01*1.2</f>
        <v>3.6119999999999997</v>
      </c>
      <c r="G205" s="7"/>
      <c r="H205" s="2"/>
    </row>
    <row r="206" spans="1:8" x14ac:dyDescent="0.55000000000000004">
      <c r="A206" s="18" t="s">
        <v>456</v>
      </c>
      <c r="B206" s="24">
        <v>2</v>
      </c>
      <c r="C206" s="18" t="s">
        <v>459</v>
      </c>
      <c r="D206" s="4" t="s">
        <v>166</v>
      </c>
      <c r="E206" s="7"/>
      <c r="F206" s="7">
        <f>7.61*1.2</f>
        <v>9.1319999999999997</v>
      </c>
      <c r="G206" s="7"/>
      <c r="H206" s="2"/>
    </row>
    <row r="207" spans="1:8" x14ac:dyDescent="0.55000000000000004">
      <c r="A207" s="18" t="s">
        <v>457</v>
      </c>
      <c r="B207" s="24">
        <v>1</v>
      </c>
      <c r="C207" s="18" t="s">
        <v>460</v>
      </c>
      <c r="D207" s="4" t="s">
        <v>166</v>
      </c>
      <c r="E207" s="7"/>
      <c r="F207" s="7">
        <f>58.06*1.2</f>
        <v>69.671999999999997</v>
      </c>
      <c r="G207" s="7"/>
      <c r="H207" s="2"/>
    </row>
    <row r="208" spans="1:8" x14ac:dyDescent="0.55000000000000004">
      <c r="A208" s="18" t="s">
        <v>464</v>
      </c>
      <c r="B208" s="24">
        <v>2</v>
      </c>
      <c r="C208" s="18" t="s">
        <v>465</v>
      </c>
      <c r="D208" s="4" t="s">
        <v>166</v>
      </c>
      <c r="E208" s="7"/>
      <c r="F208" s="7">
        <f>33.88*1.2</f>
        <v>40.655999999999999</v>
      </c>
      <c r="G208" s="7"/>
      <c r="H208" s="2"/>
    </row>
    <row r="209" spans="1:8" x14ac:dyDescent="0.55000000000000004">
      <c r="A209" s="16" t="s">
        <v>414</v>
      </c>
      <c r="B209" s="13">
        <v>1</v>
      </c>
      <c r="C209" s="16" t="s">
        <v>155</v>
      </c>
      <c r="D209" s="4"/>
      <c r="E209" s="7">
        <v>35</v>
      </c>
      <c r="F209" s="7">
        <f>44.04*1.2</f>
        <v>52.847999999999999</v>
      </c>
      <c r="G209" s="7"/>
      <c r="H209" s="2"/>
    </row>
    <row r="210" spans="1:8" x14ac:dyDescent="0.55000000000000004">
      <c r="A210" s="16" t="s">
        <v>417</v>
      </c>
      <c r="B210" s="13">
        <v>1</v>
      </c>
      <c r="C210" s="16" t="s">
        <v>419</v>
      </c>
      <c r="D210" s="4"/>
      <c r="E210" s="7"/>
      <c r="F210" s="7">
        <f>240.3*1.2</f>
        <v>288.36</v>
      </c>
      <c r="G210" s="7"/>
      <c r="H210" s="2"/>
    </row>
    <row r="211" spans="1:8" x14ac:dyDescent="0.55000000000000004">
      <c r="A211" s="16" t="s">
        <v>418</v>
      </c>
      <c r="B211" s="13">
        <v>1</v>
      </c>
      <c r="C211" s="16" t="s">
        <v>420</v>
      </c>
      <c r="D211" s="4"/>
      <c r="E211" s="7"/>
      <c r="F211" s="7">
        <f>43.73*1.2</f>
        <v>52.475999999999992</v>
      </c>
      <c r="G211" s="7"/>
      <c r="H211" s="2"/>
    </row>
    <row r="212" spans="1:8" x14ac:dyDescent="0.55000000000000004">
      <c r="A212" s="10" t="s">
        <v>373</v>
      </c>
      <c r="B212" s="13">
        <v>1</v>
      </c>
      <c r="C212" s="4" t="s">
        <v>145</v>
      </c>
      <c r="D212" s="4" t="s">
        <v>166</v>
      </c>
      <c r="E212" s="7">
        <v>100</v>
      </c>
      <c r="F212" s="33">
        <f>80.33*1.2</f>
        <v>96.396000000000001</v>
      </c>
      <c r="G212" s="7">
        <f>80.33*1.2</f>
        <v>96.396000000000001</v>
      </c>
      <c r="H212" s="2"/>
    </row>
    <row r="213" spans="1:8" x14ac:dyDescent="0.55000000000000004">
      <c r="A213" s="10" t="s">
        <v>374</v>
      </c>
      <c r="B213" s="13">
        <v>1</v>
      </c>
      <c r="C213" s="4" t="s">
        <v>376</v>
      </c>
      <c r="D213" s="4" t="s">
        <v>166</v>
      </c>
      <c r="E213" s="7">
        <v>12.5</v>
      </c>
      <c r="F213" s="33">
        <f>8.38*1.2</f>
        <v>10.056000000000001</v>
      </c>
      <c r="G213" s="7">
        <f>8.38*1.2</f>
        <v>10.056000000000001</v>
      </c>
      <c r="H213" s="2"/>
    </row>
    <row r="214" spans="1:8" x14ac:dyDescent="0.55000000000000004">
      <c r="A214" s="10" t="s">
        <v>375</v>
      </c>
      <c r="B214" s="13">
        <v>2</v>
      </c>
      <c r="C214" s="4" t="s">
        <v>377</v>
      </c>
      <c r="D214" s="4" t="s">
        <v>166</v>
      </c>
      <c r="E214" s="7">
        <v>8</v>
      </c>
      <c r="F214" s="33">
        <f>0.62*1.2</f>
        <v>0.74399999999999999</v>
      </c>
      <c r="G214" s="7">
        <f>0.62*1.2</f>
        <v>0.74399999999999999</v>
      </c>
      <c r="H214" s="2"/>
    </row>
    <row r="215" spans="1:8" x14ac:dyDescent="0.55000000000000004">
      <c r="A215" s="19" t="s">
        <v>389</v>
      </c>
      <c r="B215" s="13">
        <v>10</v>
      </c>
      <c r="C215" s="4" t="s">
        <v>391</v>
      </c>
      <c r="D215" s="4" t="s">
        <v>166</v>
      </c>
      <c r="E215" s="7"/>
      <c r="F215" s="12">
        <f>4.1*1.2</f>
        <v>4.919999999999999</v>
      </c>
      <c r="G215" s="7">
        <f>4.1*1.2</f>
        <v>4.919999999999999</v>
      </c>
      <c r="H215" s="2"/>
    </row>
    <row r="216" spans="1:8" x14ac:dyDescent="0.55000000000000004">
      <c r="A216" s="19" t="s">
        <v>390</v>
      </c>
      <c r="B216" s="13">
        <v>10</v>
      </c>
      <c r="C216" s="4" t="s">
        <v>392</v>
      </c>
      <c r="D216" s="4" t="s">
        <v>166</v>
      </c>
      <c r="E216" s="7"/>
      <c r="F216" s="12">
        <f>4.1*1.2</f>
        <v>4.919999999999999</v>
      </c>
      <c r="G216" s="7">
        <f>4.1*1.2</f>
        <v>4.919999999999999</v>
      </c>
      <c r="H216" s="2"/>
    </row>
    <row r="217" spans="1:8" x14ac:dyDescent="0.55000000000000004">
      <c r="A217" s="19" t="s">
        <v>393</v>
      </c>
      <c r="B217" s="13">
        <v>1</v>
      </c>
      <c r="C217" s="4" t="s">
        <v>396</v>
      </c>
      <c r="D217" s="4" t="s">
        <v>166</v>
      </c>
      <c r="E217" s="7"/>
      <c r="F217" s="12">
        <f>25.71*1.2</f>
        <v>30.852</v>
      </c>
      <c r="G217" s="7">
        <f>25.71*1.2</f>
        <v>30.852</v>
      </c>
      <c r="H217" s="2"/>
    </row>
    <row r="218" spans="1:8" x14ac:dyDescent="0.55000000000000004">
      <c r="A218" s="19" t="s">
        <v>394</v>
      </c>
      <c r="B218" s="13">
        <v>1</v>
      </c>
      <c r="C218" s="4" t="s">
        <v>397</v>
      </c>
      <c r="D218" s="4" t="s">
        <v>166</v>
      </c>
      <c r="E218" s="7"/>
      <c r="F218" s="12">
        <f>1.55*1.2</f>
        <v>1.8599999999999999</v>
      </c>
      <c r="G218" s="7">
        <f>1.55*1.2</f>
        <v>1.8599999999999999</v>
      </c>
      <c r="H218" s="2"/>
    </row>
    <row r="219" spans="1:8" x14ac:dyDescent="0.55000000000000004">
      <c r="A219" s="19" t="s">
        <v>395</v>
      </c>
      <c r="B219" s="13">
        <v>1</v>
      </c>
      <c r="C219" s="4" t="s">
        <v>476</v>
      </c>
      <c r="D219" s="4" t="s">
        <v>166</v>
      </c>
      <c r="E219" s="7"/>
      <c r="F219" s="12">
        <f>20.3*1.2</f>
        <v>24.36</v>
      </c>
      <c r="G219" s="7">
        <f>20.3*1.2</f>
        <v>24.36</v>
      </c>
      <c r="H219" s="2"/>
    </row>
    <row r="220" spans="1:8" x14ac:dyDescent="0.55000000000000004">
      <c r="A220" s="19" t="s">
        <v>400</v>
      </c>
      <c r="B220" s="13">
        <v>1</v>
      </c>
      <c r="C220" s="4" t="s">
        <v>399</v>
      </c>
      <c r="D220" s="4" t="s">
        <v>166</v>
      </c>
      <c r="E220" s="7"/>
      <c r="F220" s="12">
        <f>47.67*1.2</f>
        <v>57.204000000000001</v>
      </c>
      <c r="G220" s="7">
        <f>47.67*1.2</f>
        <v>57.204000000000001</v>
      </c>
      <c r="H220" s="2"/>
    </row>
    <row r="221" spans="1:8" x14ac:dyDescent="0.55000000000000004">
      <c r="A221" s="4"/>
      <c r="B221" s="4"/>
      <c r="C221" s="4"/>
      <c r="D221" s="4"/>
      <c r="E221" s="7">
        <f>SUM(E156:E220)</f>
        <v>2020.7199999999998</v>
      </c>
      <c r="F221" s="7">
        <f>SUM(F156:F220)</f>
        <v>4691.8599999999969</v>
      </c>
      <c r="G221" s="12">
        <f>SUM(G156:G220)</f>
        <v>676.08799999999985</v>
      </c>
      <c r="H221" s="2"/>
    </row>
    <row r="222" spans="1:8" x14ac:dyDescent="0.55000000000000004">
      <c r="A222" s="4"/>
      <c r="B222" s="4"/>
      <c r="C222" s="4"/>
      <c r="D222" s="4"/>
      <c r="E222" s="7"/>
      <c r="F222" s="7"/>
      <c r="G222" s="7"/>
      <c r="H222" s="2"/>
    </row>
    <row r="223" spans="1:8" x14ac:dyDescent="0.55000000000000004">
      <c r="A223" s="4"/>
      <c r="B223" s="4"/>
      <c r="C223" s="4" t="s">
        <v>421</v>
      </c>
      <c r="D223" s="4"/>
      <c r="E223" s="7"/>
      <c r="F223" s="7"/>
      <c r="G223" s="7"/>
      <c r="H223" s="2"/>
    </row>
    <row r="224" spans="1:8" x14ac:dyDescent="0.55000000000000004">
      <c r="A224" s="4"/>
      <c r="B224" s="4"/>
      <c r="C224" s="4" t="s">
        <v>382</v>
      </c>
      <c r="D224" s="4"/>
      <c r="E224" s="7"/>
      <c r="F224" s="7"/>
      <c r="G224" s="7"/>
      <c r="H224" s="2"/>
    </row>
    <row r="225" spans="1:8" x14ac:dyDescent="0.55000000000000004">
      <c r="A225" s="4"/>
      <c r="B225" s="4"/>
      <c r="C225" s="4" t="s">
        <v>381</v>
      </c>
      <c r="D225" s="4"/>
      <c r="E225" s="7">
        <f>(25*8)*1.2</f>
        <v>240</v>
      </c>
      <c r="F225" s="7"/>
      <c r="G225" s="7"/>
      <c r="H225" s="2"/>
    </row>
    <row r="226" spans="1:8" x14ac:dyDescent="0.55000000000000004">
      <c r="A226" s="4"/>
      <c r="B226" s="4"/>
      <c r="C226" s="4" t="s">
        <v>427</v>
      </c>
      <c r="D226" s="4"/>
      <c r="E226" s="7"/>
      <c r="F226" s="7"/>
      <c r="G226" s="7"/>
      <c r="H226" s="2"/>
    </row>
    <row r="227" spans="1:8" x14ac:dyDescent="0.55000000000000004">
      <c r="A227" s="4"/>
      <c r="B227" s="4"/>
      <c r="C227" s="4" t="s">
        <v>428</v>
      </c>
      <c r="D227" s="4"/>
      <c r="E227" s="7"/>
      <c r="F227" s="7"/>
      <c r="G227" s="7"/>
      <c r="H227" s="2"/>
    </row>
    <row r="228" spans="1:8" x14ac:dyDescent="0.55000000000000004">
      <c r="A228" s="4"/>
      <c r="B228" s="4"/>
      <c r="C228" s="4"/>
      <c r="D228" s="4"/>
      <c r="E228" s="7"/>
      <c r="F228" s="7"/>
      <c r="G228" s="7"/>
      <c r="H228" s="2"/>
    </row>
    <row r="229" spans="1:8" x14ac:dyDescent="0.55000000000000004">
      <c r="A229" s="4"/>
      <c r="B229" s="4"/>
      <c r="C229" s="4" t="s">
        <v>473</v>
      </c>
      <c r="D229" s="4"/>
      <c r="E229" s="7"/>
      <c r="F229" s="7"/>
      <c r="G229" s="7"/>
      <c r="H229" s="2"/>
    </row>
    <row r="230" spans="1:8" x14ac:dyDescent="0.55000000000000004">
      <c r="A230" s="4"/>
      <c r="B230" s="4"/>
      <c r="C230" s="4" t="s">
        <v>429</v>
      </c>
      <c r="D230" s="4"/>
      <c r="E230" s="7"/>
      <c r="F230" s="7"/>
      <c r="G230" s="7"/>
      <c r="H230" s="2"/>
    </row>
    <row r="231" spans="1:8" x14ac:dyDescent="0.55000000000000004">
      <c r="A231" s="4"/>
      <c r="B231" s="4"/>
      <c r="C231" s="4"/>
      <c r="D231" s="4"/>
      <c r="E231" s="7"/>
      <c r="F231" s="7"/>
      <c r="G231" s="7"/>
      <c r="H231" s="2"/>
    </row>
    <row r="232" spans="1:8" x14ac:dyDescent="0.55000000000000004">
      <c r="A232" s="4"/>
      <c r="B232" s="4"/>
      <c r="C232" s="4"/>
      <c r="D232" s="4"/>
      <c r="E232" s="7"/>
      <c r="F232" s="7"/>
      <c r="G232" s="7"/>
      <c r="H232" s="2"/>
    </row>
    <row r="233" spans="1:8" x14ac:dyDescent="0.55000000000000004">
      <c r="A233" s="4"/>
      <c r="B233" s="4"/>
      <c r="C233" s="4"/>
      <c r="D233" s="4"/>
      <c r="E233" s="7"/>
      <c r="F233" s="7"/>
      <c r="G233" s="7"/>
      <c r="H233" s="2"/>
    </row>
    <row r="234" spans="1:8" x14ac:dyDescent="0.55000000000000004">
      <c r="A234" s="4"/>
      <c r="B234" s="4"/>
      <c r="C234" s="4"/>
      <c r="D234" s="4"/>
      <c r="E234" s="7"/>
      <c r="F234" s="7"/>
      <c r="G234" s="7"/>
      <c r="H234" s="2"/>
    </row>
    <row r="235" spans="1:8" x14ac:dyDescent="0.55000000000000004">
      <c r="A235" s="4"/>
      <c r="B235" s="4"/>
      <c r="C235" s="4"/>
      <c r="D235" s="4"/>
      <c r="E235" s="7"/>
      <c r="F235" s="7"/>
      <c r="G235" s="7">
        <f>G69+G114+G128+G131+G221</f>
        <v>3713.0499999999993</v>
      </c>
      <c r="H235" s="2"/>
    </row>
    <row r="236" spans="1:8" x14ac:dyDescent="0.55000000000000004">
      <c r="A236" s="4"/>
      <c r="B236" s="4"/>
      <c r="C236" s="4"/>
      <c r="D236" s="4"/>
      <c r="E236" s="7"/>
      <c r="F236" s="7"/>
      <c r="G236" s="7"/>
      <c r="H236" s="2"/>
    </row>
    <row r="237" spans="1:8" x14ac:dyDescent="0.55000000000000004">
      <c r="H237" s="2"/>
    </row>
    <row r="238" spans="1:8" x14ac:dyDescent="0.55000000000000004">
      <c r="H238" s="2"/>
    </row>
    <row r="239" spans="1:8" x14ac:dyDescent="0.55000000000000004">
      <c r="H239" s="2"/>
    </row>
    <row r="240" spans="1:8" x14ac:dyDescent="0.55000000000000004">
      <c r="H240" s="2"/>
    </row>
    <row r="241" spans="8:8" x14ac:dyDescent="0.55000000000000004">
      <c r="H241" s="2"/>
    </row>
    <row r="242" spans="8:8" x14ac:dyDescent="0.55000000000000004">
      <c r="H242" s="2"/>
    </row>
    <row r="243" spans="8:8" x14ac:dyDescent="0.55000000000000004">
      <c r="H243" s="2"/>
    </row>
    <row r="244" spans="8:8" x14ac:dyDescent="0.55000000000000004">
      <c r="H244" s="2"/>
    </row>
    <row r="245" spans="8:8" x14ac:dyDescent="0.55000000000000004">
      <c r="H245" s="2"/>
    </row>
    <row r="246" spans="8:8" x14ac:dyDescent="0.55000000000000004">
      <c r="H246" s="2"/>
    </row>
    <row r="247" spans="8:8" x14ac:dyDescent="0.55000000000000004">
      <c r="H247" s="8"/>
    </row>
    <row r="248" spans="8:8" x14ac:dyDescent="0.55000000000000004">
      <c r="H248" s="8"/>
    </row>
    <row r="249" spans="8:8" x14ac:dyDescent="0.55000000000000004">
      <c r="H249" s="8"/>
    </row>
    <row r="250" spans="8:8" x14ac:dyDescent="0.55000000000000004">
      <c r="H250" s="8"/>
    </row>
    <row r="251" spans="8:8" x14ac:dyDescent="0.55000000000000004">
      <c r="H251" s="8"/>
    </row>
    <row r="252" spans="8:8" x14ac:dyDescent="0.55000000000000004">
      <c r="H252" s="8"/>
    </row>
    <row r="253" spans="8:8" x14ac:dyDescent="0.55000000000000004">
      <c r="H253" s="8"/>
    </row>
    <row r="254" spans="8:8" x14ac:dyDescent="0.55000000000000004">
      <c r="H254" s="8"/>
    </row>
    <row r="255" spans="8:8" x14ac:dyDescent="0.55000000000000004">
      <c r="H255" s="8"/>
    </row>
    <row r="256" spans="8:8" x14ac:dyDescent="0.55000000000000004">
      <c r="H256" s="8"/>
    </row>
    <row r="257" spans="8:8" x14ac:dyDescent="0.55000000000000004">
      <c r="H257" s="8"/>
    </row>
    <row r="258" spans="8:8" x14ac:dyDescent="0.55000000000000004">
      <c r="H258" s="8"/>
    </row>
    <row r="259" spans="8:8" x14ac:dyDescent="0.55000000000000004">
      <c r="H259" s="8"/>
    </row>
    <row r="260" spans="8:8" x14ac:dyDescent="0.55000000000000004">
      <c r="H260" s="8"/>
    </row>
    <row r="261" spans="8:8" x14ac:dyDescent="0.55000000000000004">
      <c r="H261" s="8"/>
    </row>
    <row r="262" spans="8:8" x14ac:dyDescent="0.55000000000000004">
      <c r="H262" s="8"/>
    </row>
    <row r="263" spans="8:8" x14ac:dyDescent="0.55000000000000004">
      <c r="H263" s="8"/>
    </row>
    <row r="264" spans="8:8" x14ac:dyDescent="0.55000000000000004">
      <c r="H264" s="8"/>
    </row>
    <row r="265" spans="8:8" x14ac:dyDescent="0.55000000000000004">
      <c r="H265" s="8"/>
    </row>
    <row r="266" spans="8:8" x14ac:dyDescent="0.55000000000000004">
      <c r="H266" s="8"/>
    </row>
    <row r="267" spans="8:8" x14ac:dyDescent="0.55000000000000004">
      <c r="H267" s="8"/>
    </row>
  </sheetData>
  <autoFilter ref="A2:H2"/>
  <mergeCells count="1">
    <mergeCell ref="A1:G1"/>
  </mergeCells>
  <pageMargins left="0.7" right="0.7" top="0.75" bottom="0.75" header="0.3" footer="0.3"/>
  <pageSetup paperSize="9" scale="56" orientation="portrait" r:id="rId1"/>
  <rowBreaks count="2" manualBreakCount="2">
    <brk id="70" max="16383" man="1"/>
    <brk id="15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4"/>
  <sheetViews>
    <sheetView tabSelected="1" view="pageBreakPreview" zoomScaleNormal="100" zoomScaleSheetLayoutView="100" workbookViewId="0">
      <pane ySplit="2" topLeftCell="A79" activePane="bottomLeft" state="frozen"/>
      <selection pane="bottomLeft" activeCell="G6" sqref="G6"/>
    </sheetView>
  </sheetViews>
  <sheetFormatPr defaultRowHeight="14.4" x14ac:dyDescent="0.55000000000000004"/>
  <cols>
    <col min="1" max="1" width="22.47265625" style="6" bestFit="1" customWidth="1"/>
    <col min="3" max="3" width="58.734375" bestFit="1" customWidth="1"/>
    <col min="4" max="4" width="23.1015625" bestFit="1" customWidth="1"/>
    <col min="5" max="5" width="13.89453125" bestFit="1" customWidth="1"/>
    <col min="6" max="6" width="13.7890625" bestFit="1" customWidth="1"/>
    <col min="7" max="7" width="13.26171875" customWidth="1"/>
  </cols>
  <sheetData>
    <row r="1" spans="1:8" ht="28" customHeight="1" thickBot="1" x14ac:dyDescent="0.6">
      <c r="A1" s="37" t="s">
        <v>378</v>
      </c>
      <c r="B1" s="38"/>
      <c r="C1" s="38"/>
      <c r="D1" s="39"/>
      <c r="E1" s="27"/>
      <c r="F1" s="27"/>
      <c r="G1" s="28"/>
      <c r="H1" s="2"/>
    </row>
    <row r="2" spans="1:8" ht="28" customHeight="1" x14ac:dyDescent="0.55000000000000004">
      <c r="A2" s="9" t="s">
        <v>422</v>
      </c>
      <c r="B2" s="9" t="s">
        <v>423</v>
      </c>
      <c r="C2" s="9" t="s">
        <v>424</v>
      </c>
      <c r="D2" s="9" t="s">
        <v>470</v>
      </c>
      <c r="E2" s="11" t="s">
        <v>426</v>
      </c>
      <c r="F2" s="11" t="s">
        <v>405</v>
      </c>
      <c r="G2" s="3" t="s">
        <v>407</v>
      </c>
      <c r="H2" s="2"/>
    </row>
    <row r="3" spans="1:8" x14ac:dyDescent="0.55000000000000004">
      <c r="A3" s="15" t="s">
        <v>83</v>
      </c>
      <c r="B3" s="3"/>
      <c r="C3" s="3"/>
      <c r="D3" s="3"/>
      <c r="E3" s="3"/>
      <c r="F3" s="3"/>
      <c r="G3" s="3"/>
      <c r="H3" s="2"/>
    </row>
    <row r="4" spans="1:8" x14ac:dyDescent="0.55000000000000004">
      <c r="A4" s="19" t="s">
        <v>147</v>
      </c>
      <c r="B4" s="20">
        <v>1</v>
      </c>
      <c r="C4" s="20" t="s">
        <v>337</v>
      </c>
      <c r="D4" s="19" t="s">
        <v>469</v>
      </c>
      <c r="E4" s="12">
        <v>7.67</v>
      </c>
      <c r="F4" s="7"/>
      <c r="G4" s="12">
        <v>6.9</v>
      </c>
      <c r="H4" s="2"/>
    </row>
    <row r="5" spans="1:8" x14ac:dyDescent="0.55000000000000004">
      <c r="A5" s="19" t="s">
        <v>148</v>
      </c>
      <c r="B5" s="20">
        <v>2</v>
      </c>
      <c r="C5" s="20" t="s">
        <v>6</v>
      </c>
      <c r="D5" s="20" t="s">
        <v>166</v>
      </c>
      <c r="E5" s="7"/>
      <c r="F5" s="12">
        <f>16.2*1.2</f>
        <v>19.439999999999998</v>
      </c>
      <c r="G5" s="12">
        <f>16.2*1.2</f>
        <v>19.439999999999998</v>
      </c>
      <c r="H5" s="2"/>
    </row>
    <row r="6" spans="1:8" x14ac:dyDescent="0.55000000000000004">
      <c r="A6" s="19" t="s">
        <v>150</v>
      </c>
      <c r="B6" s="20">
        <v>1</v>
      </c>
      <c r="C6" s="20" t="s">
        <v>7</v>
      </c>
      <c r="D6" s="20" t="s">
        <v>479</v>
      </c>
      <c r="E6" s="12">
        <v>28.82</v>
      </c>
      <c r="F6" s="7"/>
      <c r="G6" s="7">
        <f>E6</f>
        <v>28.82</v>
      </c>
      <c r="H6" s="2"/>
    </row>
    <row r="7" spans="1:8" x14ac:dyDescent="0.55000000000000004">
      <c r="A7" s="19" t="s">
        <v>1</v>
      </c>
      <c r="B7" s="20">
        <v>1</v>
      </c>
      <c r="C7" s="20" t="s">
        <v>9</v>
      </c>
      <c r="D7" s="19" t="s">
        <v>469</v>
      </c>
      <c r="E7" s="12">
        <v>11.16</v>
      </c>
      <c r="F7" s="7"/>
      <c r="G7" s="12">
        <v>10.86</v>
      </c>
      <c r="H7" s="2"/>
    </row>
    <row r="8" spans="1:8" x14ac:dyDescent="0.55000000000000004">
      <c r="A8" s="22" t="s">
        <v>46</v>
      </c>
      <c r="B8" s="20">
        <v>1</v>
      </c>
      <c r="C8" s="20" t="s">
        <v>10</v>
      </c>
      <c r="D8" s="20" t="s">
        <v>166</v>
      </c>
      <c r="E8" s="7"/>
      <c r="F8" s="12">
        <f>0.37*1.2</f>
        <v>0.44400000000000001</v>
      </c>
      <c r="G8" s="25">
        <f>0.37*1.2</f>
        <v>0.44400000000000001</v>
      </c>
      <c r="H8" s="2"/>
    </row>
    <row r="9" spans="1:8" x14ac:dyDescent="0.55000000000000004">
      <c r="A9" s="19" t="s">
        <v>151</v>
      </c>
      <c r="B9" s="20">
        <v>1</v>
      </c>
      <c r="C9" s="20" t="s">
        <v>11</v>
      </c>
      <c r="D9" s="20" t="s">
        <v>166</v>
      </c>
      <c r="E9" s="7"/>
      <c r="F9" s="12">
        <f>81.74*1.2</f>
        <v>98.087999999999994</v>
      </c>
      <c r="G9" s="25">
        <f>81.74*1.2</f>
        <v>98.087999999999994</v>
      </c>
      <c r="H9" s="2"/>
    </row>
    <row r="10" spans="1:8" x14ac:dyDescent="0.55000000000000004">
      <c r="A10" s="19">
        <v>11311406366</v>
      </c>
      <c r="B10" s="20">
        <v>1</v>
      </c>
      <c r="C10" s="20" t="s">
        <v>12</v>
      </c>
      <c r="D10" s="20" t="s">
        <v>166</v>
      </c>
      <c r="E10" s="7"/>
      <c r="F10" s="26">
        <f>124.05*1.2</f>
        <v>148.85999999999999</v>
      </c>
      <c r="G10" s="12">
        <f>F10</f>
        <v>148.85999999999999</v>
      </c>
      <c r="H10" s="2"/>
    </row>
    <row r="11" spans="1:8" x14ac:dyDescent="0.55000000000000004">
      <c r="A11" s="19" t="s">
        <v>153</v>
      </c>
      <c r="B11" s="20">
        <v>1</v>
      </c>
      <c r="C11" s="20" t="s">
        <v>13</v>
      </c>
      <c r="D11" s="20" t="s">
        <v>166</v>
      </c>
      <c r="E11" s="7"/>
      <c r="F11" s="12">
        <f>28.23*1.2</f>
        <v>33.875999999999998</v>
      </c>
      <c r="G11" s="12">
        <f>28.23*1.2</f>
        <v>33.875999999999998</v>
      </c>
      <c r="H11" s="2"/>
    </row>
    <row r="12" spans="1:8" x14ac:dyDescent="0.55000000000000004">
      <c r="A12" s="19" t="s">
        <v>152</v>
      </c>
      <c r="B12" s="20">
        <v>1</v>
      </c>
      <c r="C12" s="20" t="s">
        <v>14</v>
      </c>
      <c r="D12" s="20" t="s">
        <v>166</v>
      </c>
      <c r="E12" s="7"/>
      <c r="F12" s="12">
        <f>181.5*1.2</f>
        <v>217.79999999999998</v>
      </c>
      <c r="G12" s="12">
        <f>181.5*1.2</f>
        <v>217.79999999999998</v>
      </c>
      <c r="H12" s="2"/>
    </row>
    <row r="13" spans="1:8" x14ac:dyDescent="0.55000000000000004">
      <c r="A13" s="19">
        <v>11311745409</v>
      </c>
      <c r="B13" s="20">
        <v>2</v>
      </c>
      <c r="C13" s="20" t="s">
        <v>278</v>
      </c>
      <c r="D13" s="20" t="s">
        <v>166</v>
      </c>
      <c r="E13" s="7"/>
      <c r="F13" s="12">
        <f>21.97*1.2</f>
        <v>26.363999999999997</v>
      </c>
      <c r="G13" s="12">
        <f>21.97*1.2</f>
        <v>26.363999999999997</v>
      </c>
      <c r="H13" s="2"/>
    </row>
    <row r="14" spans="1:8" x14ac:dyDescent="0.55000000000000004">
      <c r="A14" s="22" t="s">
        <v>364</v>
      </c>
      <c r="B14" s="20">
        <v>1</v>
      </c>
      <c r="C14" s="20" t="s">
        <v>279</v>
      </c>
      <c r="D14" s="20" t="s">
        <v>166</v>
      </c>
      <c r="E14" s="7"/>
      <c r="F14" s="12">
        <f>0.55*1.2</f>
        <v>0.66</v>
      </c>
      <c r="G14" s="12">
        <f>F14</f>
        <v>0.66</v>
      </c>
      <c r="H14" s="2"/>
    </row>
    <row r="15" spans="1:8" x14ac:dyDescent="0.55000000000000004">
      <c r="A15" s="19" t="s">
        <v>123</v>
      </c>
      <c r="B15" s="20">
        <v>1</v>
      </c>
      <c r="C15" s="20" t="s">
        <v>15</v>
      </c>
      <c r="D15" s="20" t="s">
        <v>166</v>
      </c>
      <c r="E15" s="7"/>
      <c r="F15" s="12">
        <f>1.6*1.2</f>
        <v>1.92</v>
      </c>
      <c r="G15" s="12">
        <f>F15</f>
        <v>1.92</v>
      </c>
      <c r="H15" s="2"/>
    </row>
    <row r="16" spans="1:8" x14ac:dyDescent="0.55000000000000004">
      <c r="A16" s="19" t="s">
        <v>154</v>
      </c>
      <c r="B16" s="20">
        <v>1</v>
      </c>
      <c r="C16" s="20" t="s">
        <v>16</v>
      </c>
      <c r="D16" s="20" t="s">
        <v>166</v>
      </c>
      <c r="E16" s="7"/>
      <c r="F16" s="12">
        <f>76.27*1.2</f>
        <v>91.523999999999987</v>
      </c>
      <c r="G16" s="12">
        <f t="shared" ref="G16:G36" si="0">F16</f>
        <v>91.523999999999987</v>
      </c>
      <c r="H16" s="2"/>
    </row>
    <row r="17" spans="1:8" x14ac:dyDescent="0.55000000000000004">
      <c r="A17" s="22" t="s">
        <v>45</v>
      </c>
      <c r="B17" s="20">
        <v>1</v>
      </c>
      <c r="C17" s="20" t="s">
        <v>17</v>
      </c>
      <c r="D17" s="20" t="s">
        <v>166</v>
      </c>
      <c r="E17" s="7"/>
      <c r="F17" s="12">
        <f>0.3*1.2</f>
        <v>0.36</v>
      </c>
      <c r="G17" s="12">
        <f t="shared" si="0"/>
        <v>0.36</v>
      </c>
      <c r="H17" s="2"/>
    </row>
    <row r="18" spans="1:8" x14ac:dyDescent="0.55000000000000004">
      <c r="A18" s="19" t="s">
        <v>47</v>
      </c>
      <c r="B18" s="20">
        <v>2</v>
      </c>
      <c r="C18" s="20" t="s">
        <v>18</v>
      </c>
      <c r="D18" s="20" t="s">
        <v>166</v>
      </c>
      <c r="E18" s="7"/>
      <c r="F18" s="12">
        <f>(78.45*1.2)</f>
        <v>94.14</v>
      </c>
      <c r="G18" s="12">
        <f t="shared" si="0"/>
        <v>94.14</v>
      </c>
      <c r="H18" s="2"/>
    </row>
    <row r="19" spans="1:8" x14ac:dyDescent="0.55000000000000004">
      <c r="A19" s="19" t="s">
        <v>385</v>
      </c>
      <c r="B19" s="20">
        <v>1</v>
      </c>
      <c r="C19" s="20" t="s">
        <v>386</v>
      </c>
      <c r="D19" s="20" t="s">
        <v>166</v>
      </c>
      <c r="E19" s="7"/>
      <c r="F19" s="12">
        <f>38.05*1.2</f>
        <v>45.66</v>
      </c>
      <c r="G19" s="12">
        <f t="shared" si="0"/>
        <v>45.66</v>
      </c>
      <c r="H19" s="2"/>
    </row>
    <row r="20" spans="1:8" x14ac:dyDescent="0.55000000000000004">
      <c r="A20" s="19" t="s">
        <v>387</v>
      </c>
      <c r="B20" s="20">
        <v>1</v>
      </c>
      <c r="C20" s="20" t="s">
        <v>388</v>
      </c>
      <c r="D20" s="20" t="s">
        <v>166</v>
      </c>
      <c r="E20" s="7"/>
      <c r="F20" s="12">
        <f>1.16*1.2</f>
        <v>1.3919999999999999</v>
      </c>
      <c r="G20" s="12">
        <f t="shared" si="0"/>
        <v>1.3919999999999999</v>
      </c>
      <c r="H20" s="2"/>
    </row>
    <row r="21" spans="1:8" x14ac:dyDescent="0.55000000000000004">
      <c r="A21" s="19" t="s">
        <v>48</v>
      </c>
      <c r="B21" s="20">
        <v>1</v>
      </c>
      <c r="C21" s="20" t="s">
        <v>19</v>
      </c>
      <c r="D21" s="20" t="s">
        <v>166</v>
      </c>
      <c r="E21" s="7"/>
      <c r="F21" s="12">
        <f>133*1.2</f>
        <v>159.6</v>
      </c>
      <c r="G21" s="12">
        <f t="shared" si="0"/>
        <v>159.6</v>
      </c>
      <c r="H21" s="2"/>
    </row>
    <row r="22" spans="1:8" x14ac:dyDescent="0.55000000000000004">
      <c r="A22" s="19" t="s">
        <v>49</v>
      </c>
      <c r="B22" s="20">
        <v>1</v>
      </c>
      <c r="C22" s="20" t="s">
        <v>20</v>
      </c>
      <c r="D22" s="20" t="s">
        <v>166</v>
      </c>
      <c r="E22" s="7"/>
      <c r="F22" s="12">
        <f>169.34*1.2</f>
        <v>203.208</v>
      </c>
      <c r="G22" s="12">
        <f t="shared" si="0"/>
        <v>203.208</v>
      </c>
      <c r="H22" s="2"/>
    </row>
    <row r="23" spans="1:8" x14ac:dyDescent="0.55000000000000004">
      <c r="A23" s="19" t="s">
        <v>339</v>
      </c>
      <c r="B23" s="20">
        <v>2</v>
      </c>
      <c r="C23" s="20" t="s">
        <v>273</v>
      </c>
      <c r="D23" s="20" t="s">
        <v>166</v>
      </c>
      <c r="E23" s="7"/>
      <c r="F23" s="12">
        <f>3.65*1.2</f>
        <v>4.38</v>
      </c>
      <c r="G23" s="12">
        <f t="shared" si="0"/>
        <v>4.38</v>
      </c>
      <c r="H23" s="2"/>
    </row>
    <row r="24" spans="1:8" x14ac:dyDescent="0.55000000000000004">
      <c r="A24" s="19">
        <v>13541406352</v>
      </c>
      <c r="B24" s="20">
        <v>8</v>
      </c>
      <c r="C24" s="20" t="s">
        <v>255</v>
      </c>
      <c r="D24" s="20" t="s">
        <v>166</v>
      </c>
      <c r="E24" s="7"/>
      <c r="F24" s="12">
        <f>16.3*1.2</f>
        <v>19.559999999999999</v>
      </c>
      <c r="G24" s="12">
        <f t="shared" si="0"/>
        <v>19.559999999999999</v>
      </c>
      <c r="H24" s="2"/>
    </row>
    <row r="25" spans="1:8" x14ac:dyDescent="0.55000000000000004">
      <c r="A25" s="19">
        <v>13411406378</v>
      </c>
      <c r="B25" s="20">
        <v>12</v>
      </c>
      <c r="C25" s="20" t="s">
        <v>256</v>
      </c>
      <c r="D25" s="20" t="s">
        <v>166</v>
      </c>
      <c r="E25" s="7"/>
      <c r="F25" s="12">
        <f>24.8*1.2</f>
        <v>29.759999999999998</v>
      </c>
      <c r="G25" s="12">
        <f t="shared" si="0"/>
        <v>29.759999999999998</v>
      </c>
      <c r="H25" s="2"/>
    </row>
    <row r="26" spans="1:8" x14ac:dyDescent="0.55000000000000004">
      <c r="A26" s="19" t="s">
        <v>2</v>
      </c>
      <c r="B26" s="20">
        <v>1</v>
      </c>
      <c r="C26" s="20" t="s">
        <v>21</v>
      </c>
      <c r="D26" s="20" t="s">
        <v>166</v>
      </c>
      <c r="E26" s="7"/>
      <c r="F26" s="12">
        <f>40.32*1.2</f>
        <v>48.384</v>
      </c>
      <c r="G26" s="12">
        <f t="shared" si="0"/>
        <v>48.384</v>
      </c>
      <c r="H26" s="2"/>
    </row>
    <row r="27" spans="1:8" x14ac:dyDescent="0.55000000000000004">
      <c r="A27" s="19" t="s">
        <v>51</v>
      </c>
      <c r="B27" s="20">
        <v>1</v>
      </c>
      <c r="C27" s="20" t="s">
        <v>22</v>
      </c>
      <c r="D27" s="20" t="s">
        <v>166</v>
      </c>
      <c r="E27" s="7"/>
      <c r="F27" s="12">
        <f>40.32*1.2</f>
        <v>48.384</v>
      </c>
      <c r="G27" s="12">
        <f t="shared" si="0"/>
        <v>48.384</v>
      </c>
      <c r="H27" s="2"/>
    </row>
    <row r="28" spans="1:8" x14ac:dyDescent="0.55000000000000004">
      <c r="A28" s="19" t="s">
        <v>52</v>
      </c>
      <c r="B28" s="20">
        <v>6</v>
      </c>
      <c r="C28" s="20" t="s">
        <v>24</v>
      </c>
      <c r="D28" s="20" t="s">
        <v>166</v>
      </c>
      <c r="E28" s="7"/>
      <c r="F28" s="12">
        <f>18.3*1.2</f>
        <v>21.96</v>
      </c>
      <c r="G28" s="12">
        <f t="shared" si="0"/>
        <v>21.96</v>
      </c>
      <c r="H28" s="2"/>
    </row>
    <row r="29" spans="1:8" x14ac:dyDescent="0.55000000000000004">
      <c r="A29" s="19" t="s">
        <v>53</v>
      </c>
      <c r="B29" s="20">
        <v>20</v>
      </c>
      <c r="C29" s="20" t="s">
        <v>24</v>
      </c>
      <c r="D29" s="20" t="s">
        <v>166</v>
      </c>
      <c r="E29" s="7"/>
      <c r="F29" s="12">
        <f>16.95*1.2</f>
        <v>20.34</v>
      </c>
      <c r="G29" s="12">
        <f t="shared" si="0"/>
        <v>20.34</v>
      </c>
      <c r="H29" s="2"/>
    </row>
    <row r="30" spans="1:8" x14ac:dyDescent="0.55000000000000004">
      <c r="A30" s="19" t="s">
        <v>404</v>
      </c>
      <c r="B30" s="20">
        <v>4</v>
      </c>
      <c r="C30" s="20" t="s">
        <v>8</v>
      </c>
      <c r="D30" s="20" t="s">
        <v>166</v>
      </c>
      <c r="E30" s="7"/>
      <c r="F30" s="12">
        <f>5.33*1.2</f>
        <v>6.3959999999999999</v>
      </c>
      <c r="G30" s="12">
        <f t="shared" si="0"/>
        <v>6.3959999999999999</v>
      </c>
      <c r="H30" s="2"/>
    </row>
    <row r="31" spans="1:8" x14ac:dyDescent="0.55000000000000004">
      <c r="A31" s="19" t="s">
        <v>54</v>
      </c>
      <c r="B31" s="20">
        <v>1</v>
      </c>
      <c r="C31" s="20" t="s">
        <v>25</v>
      </c>
      <c r="D31" s="20" t="s">
        <v>166</v>
      </c>
      <c r="E31" s="7"/>
      <c r="F31" s="12">
        <f>8.12*1.2</f>
        <v>9.743999999999998</v>
      </c>
      <c r="G31" s="12">
        <f t="shared" si="0"/>
        <v>9.743999999999998</v>
      </c>
      <c r="H31" s="2"/>
    </row>
    <row r="32" spans="1:8" x14ac:dyDescent="0.55000000000000004">
      <c r="A32" s="19" t="s">
        <v>56</v>
      </c>
      <c r="B32" s="20">
        <v>1</v>
      </c>
      <c r="C32" s="20" t="s">
        <v>342</v>
      </c>
      <c r="D32" s="20" t="s">
        <v>166</v>
      </c>
      <c r="E32" s="7"/>
      <c r="F32" s="12">
        <f>0.83*1.2</f>
        <v>0.99599999999999989</v>
      </c>
      <c r="G32" s="12">
        <f t="shared" si="0"/>
        <v>0.99599999999999989</v>
      </c>
      <c r="H32" s="2"/>
    </row>
    <row r="33" spans="1:8" x14ac:dyDescent="0.55000000000000004">
      <c r="A33" s="19" t="s">
        <v>57</v>
      </c>
      <c r="B33" s="20">
        <v>4</v>
      </c>
      <c r="C33" s="20" t="s">
        <v>343</v>
      </c>
      <c r="D33" s="20" t="s">
        <v>166</v>
      </c>
      <c r="E33" s="7"/>
      <c r="F33" s="12">
        <f>6.11*1.2</f>
        <v>7.3319999999999999</v>
      </c>
      <c r="G33" s="12">
        <f t="shared" si="0"/>
        <v>7.3319999999999999</v>
      </c>
      <c r="H33" s="2"/>
    </row>
    <row r="34" spans="1:8" x14ac:dyDescent="0.55000000000000004">
      <c r="A34" s="19" t="s">
        <v>58</v>
      </c>
      <c r="B34" s="20">
        <v>6</v>
      </c>
      <c r="C34" s="20" t="s">
        <v>344</v>
      </c>
      <c r="D34" s="20" t="s">
        <v>166</v>
      </c>
      <c r="E34" s="7"/>
      <c r="F34" s="12">
        <f>5.69*1.2</f>
        <v>6.8280000000000003</v>
      </c>
      <c r="G34" s="12">
        <f t="shared" si="0"/>
        <v>6.8280000000000003</v>
      </c>
      <c r="H34" s="2"/>
    </row>
    <row r="35" spans="1:8" x14ac:dyDescent="0.55000000000000004">
      <c r="A35" s="19" t="s">
        <v>59</v>
      </c>
      <c r="B35" s="20">
        <v>4</v>
      </c>
      <c r="C35" s="20" t="s">
        <v>27</v>
      </c>
      <c r="D35" s="20" t="s">
        <v>166</v>
      </c>
      <c r="E35" s="7"/>
      <c r="F35" s="12">
        <f>0.87*1.2</f>
        <v>1.044</v>
      </c>
      <c r="G35" s="12">
        <f t="shared" si="0"/>
        <v>1.044</v>
      </c>
      <c r="H35" s="2"/>
    </row>
    <row r="36" spans="1:8" x14ac:dyDescent="0.55000000000000004">
      <c r="A36" s="19" t="s">
        <v>62</v>
      </c>
      <c r="B36" s="20">
        <v>1</v>
      </c>
      <c r="C36" s="20" t="s">
        <v>30</v>
      </c>
      <c r="D36" s="20" t="s">
        <v>166</v>
      </c>
      <c r="E36" s="7"/>
      <c r="F36" s="12">
        <f>10.57*1.2</f>
        <v>12.683999999999999</v>
      </c>
      <c r="G36" s="12">
        <f t="shared" si="0"/>
        <v>12.683999999999999</v>
      </c>
      <c r="H36" s="2"/>
    </row>
    <row r="37" spans="1:8" x14ac:dyDescent="0.55000000000000004">
      <c r="A37" s="19" t="s">
        <v>80</v>
      </c>
      <c r="B37" s="20">
        <v>1</v>
      </c>
      <c r="C37" s="20" t="s">
        <v>41</v>
      </c>
      <c r="D37" s="20" t="s">
        <v>166</v>
      </c>
      <c r="E37" s="7"/>
      <c r="F37" s="12">
        <f>60.79*1.2</f>
        <v>72.947999999999993</v>
      </c>
      <c r="G37" s="12">
        <f>60.79*1.2</f>
        <v>72.947999999999993</v>
      </c>
      <c r="H37" s="2"/>
    </row>
    <row r="38" spans="1:8" x14ac:dyDescent="0.55000000000000004">
      <c r="A38" s="19" t="s">
        <v>81</v>
      </c>
      <c r="B38" s="20">
        <v>1</v>
      </c>
      <c r="C38" s="20" t="s">
        <v>40</v>
      </c>
      <c r="D38" s="20" t="s">
        <v>166</v>
      </c>
      <c r="E38" s="7"/>
      <c r="F38" s="12">
        <f>8.7*1.2</f>
        <v>10.44</v>
      </c>
      <c r="G38" s="12">
        <f>8.7*1.2</f>
        <v>10.44</v>
      </c>
      <c r="H38" s="2"/>
    </row>
    <row r="39" spans="1:8" x14ac:dyDescent="0.55000000000000004">
      <c r="A39" s="22" t="s">
        <v>354</v>
      </c>
      <c r="B39" s="20">
        <v>2</v>
      </c>
      <c r="C39" s="20" t="s">
        <v>234</v>
      </c>
      <c r="D39" s="20" t="s">
        <v>166</v>
      </c>
      <c r="E39" s="7"/>
      <c r="F39" s="12">
        <f>0.47*1.2</f>
        <v>0.56399999999999995</v>
      </c>
      <c r="G39" s="12">
        <f>0.47*1.2</f>
        <v>0.56399999999999995</v>
      </c>
      <c r="H39" s="2"/>
    </row>
    <row r="40" spans="1:8" x14ac:dyDescent="0.55000000000000004">
      <c r="A40" s="4"/>
      <c r="B40" s="3"/>
      <c r="C40" s="4"/>
      <c r="D40" s="3"/>
      <c r="E40" s="7">
        <f>SUM(E4:E36)</f>
        <v>47.650000000000006</v>
      </c>
      <c r="F40" s="7">
        <f>SUM(F4:F39)</f>
        <v>1465.0800000000004</v>
      </c>
      <c r="G40" s="23">
        <f>SUM(G4:G36)</f>
        <v>1427.7080000000001</v>
      </c>
      <c r="H40" s="2"/>
    </row>
    <row r="41" spans="1:8" x14ac:dyDescent="0.55000000000000004">
      <c r="A41" s="4"/>
      <c r="B41" s="3"/>
      <c r="C41" s="4"/>
      <c r="D41" s="3"/>
      <c r="E41" s="7"/>
      <c r="F41" s="7"/>
      <c r="G41" s="7"/>
      <c r="H41" s="2"/>
    </row>
    <row r="42" spans="1:8" x14ac:dyDescent="0.55000000000000004">
      <c r="A42" s="15" t="s">
        <v>85</v>
      </c>
      <c r="B42" s="3"/>
      <c r="C42" s="4"/>
      <c r="D42" s="4"/>
      <c r="E42" s="7"/>
      <c r="F42" s="7"/>
      <c r="G42" s="7"/>
      <c r="H42" s="2"/>
    </row>
    <row r="43" spans="1:8" x14ac:dyDescent="0.55000000000000004">
      <c r="A43" s="19">
        <v>11211725917</v>
      </c>
      <c r="B43" s="20">
        <v>5</v>
      </c>
      <c r="C43" s="19" t="s">
        <v>172</v>
      </c>
      <c r="D43" s="19" t="s">
        <v>166</v>
      </c>
      <c r="E43" s="7"/>
      <c r="F43" s="12">
        <f>85.42*1.2</f>
        <v>102.504</v>
      </c>
      <c r="G43" s="12">
        <f>85.42*1.2</f>
        <v>102.504</v>
      </c>
      <c r="H43" s="2"/>
    </row>
    <row r="44" spans="1:8" x14ac:dyDescent="0.55000000000000004">
      <c r="A44" s="19">
        <v>11211702144</v>
      </c>
      <c r="B44" s="20">
        <v>3</v>
      </c>
      <c r="C44" s="19" t="s">
        <v>173</v>
      </c>
      <c r="D44" s="19" t="s">
        <v>166</v>
      </c>
      <c r="E44" s="7"/>
      <c r="F44" s="12">
        <f>40.92*1.2</f>
        <v>49.103999999999999</v>
      </c>
      <c r="G44" s="12">
        <f>40.92*1.2</f>
        <v>49.103999999999999</v>
      </c>
      <c r="H44" s="2"/>
    </row>
    <row r="45" spans="1:8" x14ac:dyDescent="0.55000000000000004">
      <c r="A45" s="19">
        <v>11211702147</v>
      </c>
      <c r="B45" s="20">
        <v>2</v>
      </c>
      <c r="C45" s="19" t="s">
        <v>174</v>
      </c>
      <c r="D45" s="19" t="s">
        <v>166</v>
      </c>
      <c r="E45" s="7"/>
      <c r="F45" s="12">
        <f>43.93*1.2</f>
        <v>52.716000000000001</v>
      </c>
      <c r="G45" s="12">
        <f>43.93*1.2</f>
        <v>52.716000000000001</v>
      </c>
      <c r="H45" s="2"/>
    </row>
    <row r="46" spans="1:8" x14ac:dyDescent="0.55000000000000004">
      <c r="A46" s="19">
        <v>11211725908</v>
      </c>
      <c r="B46" s="20">
        <v>5</v>
      </c>
      <c r="C46" s="19" t="s">
        <v>175</v>
      </c>
      <c r="D46" s="19" t="s">
        <v>166</v>
      </c>
      <c r="E46" s="7"/>
      <c r="F46" s="12">
        <f>85.42*1.2</f>
        <v>102.504</v>
      </c>
      <c r="G46" s="12">
        <f>85.42*1.2</f>
        <v>102.504</v>
      </c>
      <c r="H46" s="2"/>
    </row>
    <row r="47" spans="1:8" x14ac:dyDescent="0.55000000000000004">
      <c r="A47" s="19" t="s">
        <v>401</v>
      </c>
      <c r="B47" s="20">
        <v>10</v>
      </c>
      <c r="C47" s="19" t="s">
        <v>402</v>
      </c>
      <c r="D47" s="19" t="s">
        <v>166</v>
      </c>
      <c r="E47" s="7"/>
      <c r="F47" s="12">
        <f>27.8*1.2</f>
        <v>33.36</v>
      </c>
      <c r="G47" s="12">
        <f>27.8*1.2</f>
        <v>33.36</v>
      </c>
      <c r="H47" s="2"/>
    </row>
    <row r="48" spans="1:8" x14ac:dyDescent="0.55000000000000004">
      <c r="A48" s="19" t="s">
        <v>119</v>
      </c>
      <c r="B48" s="20">
        <v>2</v>
      </c>
      <c r="C48" s="19" t="s">
        <v>90</v>
      </c>
      <c r="D48" s="19" t="s">
        <v>166</v>
      </c>
      <c r="E48" s="7"/>
      <c r="F48" s="12">
        <f>2.4*1.2</f>
        <v>2.88</v>
      </c>
      <c r="G48" s="12">
        <f>F48</f>
        <v>2.88</v>
      </c>
      <c r="H48" s="2"/>
    </row>
    <row r="49" spans="1:8" x14ac:dyDescent="0.55000000000000004">
      <c r="A49" s="19" t="s">
        <v>120</v>
      </c>
      <c r="B49" s="20">
        <v>1</v>
      </c>
      <c r="C49" s="19" t="s">
        <v>91</v>
      </c>
      <c r="D49" s="19" t="s">
        <v>166</v>
      </c>
      <c r="E49" s="7"/>
      <c r="F49" s="12">
        <f>1.51*1.2</f>
        <v>1.8119999999999998</v>
      </c>
      <c r="G49" s="12">
        <f>1.51*1.2</f>
        <v>1.8119999999999998</v>
      </c>
      <c r="H49" s="2"/>
    </row>
    <row r="50" spans="1:8" x14ac:dyDescent="0.55000000000000004">
      <c r="A50" s="19" t="s">
        <v>121</v>
      </c>
      <c r="B50" s="20">
        <v>1</v>
      </c>
      <c r="C50" s="19" t="s">
        <v>92</v>
      </c>
      <c r="D50" s="19" t="s">
        <v>166</v>
      </c>
      <c r="E50" s="7"/>
      <c r="F50" s="12">
        <f>1.83*1.2</f>
        <v>2.1960000000000002</v>
      </c>
      <c r="G50" s="12">
        <f>1.83*1.2</f>
        <v>2.1960000000000002</v>
      </c>
      <c r="H50" s="2"/>
    </row>
    <row r="51" spans="1:8" x14ac:dyDescent="0.55000000000000004">
      <c r="A51" s="19" t="s">
        <v>123</v>
      </c>
      <c r="B51" s="20">
        <v>1</v>
      </c>
      <c r="C51" s="19" t="s">
        <v>94</v>
      </c>
      <c r="D51" s="19" t="s">
        <v>166</v>
      </c>
      <c r="E51" s="7"/>
      <c r="F51" s="12">
        <f>1.66*1.2</f>
        <v>1.9919999999999998</v>
      </c>
      <c r="G51" s="12">
        <f>1.66*1.2</f>
        <v>1.9919999999999998</v>
      </c>
      <c r="H51" s="2"/>
    </row>
    <row r="52" spans="1:8" x14ac:dyDescent="0.55000000000000004">
      <c r="A52" s="19" t="s">
        <v>126</v>
      </c>
      <c r="B52" s="20">
        <v>8</v>
      </c>
      <c r="C52" s="19" t="s">
        <v>97</v>
      </c>
      <c r="D52" s="19" t="s">
        <v>166</v>
      </c>
      <c r="E52" s="7"/>
      <c r="F52" s="12">
        <f>168.43*1.2</f>
        <v>202.11600000000001</v>
      </c>
      <c r="G52" s="12">
        <f>168.43*1.2</f>
        <v>202.11600000000001</v>
      </c>
      <c r="H52" s="2"/>
    </row>
    <row r="53" spans="1:8" x14ac:dyDescent="0.55000000000000004">
      <c r="A53" s="19" t="s">
        <v>127</v>
      </c>
      <c r="B53" s="20">
        <v>8</v>
      </c>
      <c r="C53" s="19" t="s">
        <v>98</v>
      </c>
      <c r="D53" s="19" t="s">
        <v>166</v>
      </c>
      <c r="E53" s="7"/>
      <c r="F53" s="12">
        <f>168.43*1.2</f>
        <v>202.11600000000001</v>
      </c>
      <c r="G53" s="12">
        <f>168.43*1.2</f>
        <v>202.11600000000001</v>
      </c>
      <c r="H53" s="2"/>
    </row>
    <row r="54" spans="1:8" x14ac:dyDescent="0.55000000000000004">
      <c r="A54" s="19" t="s">
        <v>128</v>
      </c>
      <c r="B54" s="20">
        <v>16</v>
      </c>
      <c r="C54" s="19" t="s">
        <v>99</v>
      </c>
      <c r="D54" s="19" t="s">
        <v>166</v>
      </c>
      <c r="E54" s="7"/>
      <c r="F54" s="12">
        <f>100.1*1.2</f>
        <v>120.11999999999999</v>
      </c>
      <c r="G54" s="12">
        <f>100.1*1.2</f>
        <v>120.11999999999999</v>
      </c>
      <c r="H54" s="2"/>
    </row>
    <row r="55" spans="1:8" x14ac:dyDescent="0.55000000000000004">
      <c r="A55" s="19" t="s">
        <v>129</v>
      </c>
      <c r="B55" s="20">
        <v>1</v>
      </c>
      <c r="C55" s="19" t="s">
        <v>100</v>
      </c>
      <c r="D55" s="19" t="s">
        <v>166</v>
      </c>
      <c r="E55" s="7"/>
      <c r="F55" s="12">
        <f>19.22*1.2</f>
        <v>23.063999999999997</v>
      </c>
      <c r="G55" s="12">
        <f>19.22*1.2</f>
        <v>23.063999999999997</v>
      </c>
      <c r="H55" s="2"/>
    </row>
    <row r="56" spans="1:8" x14ac:dyDescent="0.55000000000000004">
      <c r="A56" s="22" t="s">
        <v>383</v>
      </c>
      <c r="B56" s="20">
        <v>1</v>
      </c>
      <c r="C56" s="19" t="s">
        <v>384</v>
      </c>
      <c r="D56" s="19" t="s">
        <v>166</v>
      </c>
      <c r="E56" s="7"/>
      <c r="F56" s="12">
        <f>0.75*1.2</f>
        <v>0.89999999999999991</v>
      </c>
      <c r="G56" s="12">
        <f>0.75*1.2</f>
        <v>0.89999999999999991</v>
      </c>
      <c r="H56" s="2"/>
    </row>
    <row r="57" spans="1:8" x14ac:dyDescent="0.55000000000000004">
      <c r="A57" s="4"/>
      <c r="B57" s="3"/>
      <c r="C57" s="4"/>
      <c r="D57" s="3"/>
      <c r="E57" s="7">
        <f>SUM(E43:E56)</f>
        <v>0</v>
      </c>
      <c r="F57" s="7">
        <f>SUM(F43:F56)</f>
        <v>897.38400000000001</v>
      </c>
      <c r="G57" s="23">
        <f>SUM(G43:G56)</f>
        <v>897.38400000000001</v>
      </c>
      <c r="H57" s="2"/>
    </row>
    <row r="58" spans="1:8" x14ac:dyDescent="0.55000000000000004">
      <c r="A58" s="4"/>
      <c r="B58" s="3"/>
      <c r="C58" s="4"/>
      <c r="D58" s="3"/>
      <c r="E58" s="7"/>
      <c r="F58" s="7"/>
      <c r="G58" s="7"/>
      <c r="H58" s="2"/>
    </row>
    <row r="59" spans="1:8" x14ac:dyDescent="0.55000000000000004">
      <c r="A59" s="15" t="s">
        <v>334</v>
      </c>
      <c r="B59" s="4"/>
      <c r="C59" s="4"/>
      <c r="D59" s="4"/>
      <c r="E59" s="7"/>
      <c r="F59" s="7"/>
      <c r="G59" s="7"/>
      <c r="H59" s="2"/>
    </row>
    <row r="60" spans="1:8" x14ac:dyDescent="0.55000000000000004">
      <c r="A60" s="19" t="s">
        <v>345</v>
      </c>
      <c r="B60" s="20">
        <v>1</v>
      </c>
      <c r="C60" s="20" t="s">
        <v>408</v>
      </c>
      <c r="D60" s="19" t="s">
        <v>469</v>
      </c>
      <c r="E60" s="12">
        <v>79.430000000000007</v>
      </c>
      <c r="F60" s="7"/>
      <c r="G60" s="12">
        <v>77.97</v>
      </c>
      <c r="H60" s="2"/>
    </row>
    <row r="61" spans="1:8" x14ac:dyDescent="0.55000000000000004">
      <c r="A61" s="19" t="s">
        <v>406</v>
      </c>
      <c r="B61" s="20">
        <v>1</v>
      </c>
      <c r="C61" s="20" t="s">
        <v>409</v>
      </c>
      <c r="D61" s="19" t="s">
        <v>469</v>
      </c>
      <c r="E61" s="12">
        <v>81.02</v>
      </c>
      <c r="F61" s="7"/>
      <c r="G61" s="12">
        <v>79.47</v>
      </c>
      <c r="H61" s="2"/>
    </row>
    <row r="62" spans="1:8" s="32" customFormat="1" x14ac:dyDescent="0.55000000000000004">
      <c r="A62" s="18" t="s">
        <v>146</v>
      </c>
      <c r="B62" s="24">
        <v>1</v>
      </c>
      <c r="C62" s="24" t="s">
        <v>490</v>
      </c>
      <c r="D62" s="18" t="s">
        <v>166</v>
      </c>
      <c r="E62" s="26"/>
      <c r="F62" s="26">
        <f>14.59*1.2</f>
        <v>17.507999999999999</v>
      </c>
      <c r="G62" s="26">
        <f>14.59*1.2</f>
        <v>17.507999999999999</v>
      </c>
      <c r="H62" s="31"/>
    </row>
    <row r="63" spans="1:8" s="30" customFormat="1" x14ac:dyDescent="0.55000000000000004">
      <c r="A63" s="16" t="s">
        <v>486</v>
      </c>
      <c r="B63" s="17"/>
      <c r="C63" s="17" t="s">
        <v>487</v>
      </c>
      <c r="D63" s="16"/>
      <c r="E63" s="7"/>
      <c r="F63" s="7">
        <f>36.16*1.2</f>
        <v>43.391999999999996</v>
      </c>
      <c r="G63" s="7">
        <f>36.16*1.2</f>
        <v>43.391999999999996</v>
      </c>
      <c r="H63" s="29"/>
    </row>
    <row r="64" spans="1:8" x14ac:dyDescent="0.55000000000000004">
      <c r="A64" s="19" t="s">
        <v>350</v>
      </c>
      <c r="B64" s="20">
        <v>3</v>
      </c>
      <c r="C64" s="19" t="s">
        <v>188</v>
      </c>
      <c r="D64" s="19" t="s">
        <v>166</v>
      </c>
      <c r="E64" s="7"/>
      <c r="F64" s="12">
        <f>14.72*1.2</f>
        <v>17.664000000000001</v>
      </c>
      <c r="G64" s="12">
        <f>14.72*1.2</f>
        <v>17.664000000000001</v>
      </c>
      <c r="H64" s="2"/>
    </row>
    <row r="65" spans="1:8" x14ac:dyDescent="0.55000000000000004">
      <c r="A65" s="19" t="s">
        <v>351</v>
      </c>
      <c r="B65" s="20">
        <v>1</v>
      </c>
      <c r="C65" s="19" t="s">
        <v>190</v>
      </c>
      <c r="D65" s="19" t="s">
        <v>166</v>
      </c>
      <c r="E65" s="7"/>
      <c r="F65" s="12">
        <f>4.91*1.2</f>
        <v>5.8920000000000003</v>
      </c>
      <c r="G65" s="12">
        <f>4.91*1.2</f>
        <v>5.8920000000000003</v>
      </c>
      <c r="H65" s="2"/>
    </row>
    <row r="66" spans="1:8" x14ac:dyDescent="0.55000000000000004">
      <c r="A66" s="19">
        <v>18107523805</v>
      </c>
      <c r="B66" s="20">
        <v>16</v>
      </c>
      <c r="C66" s="19" t="s">
        <v>192</v>
      </c>
      <c r="D66" s="19" t="s">
        <v>166</v>
      </c>
      <c r="E66" s="7"/>
      <c r="F66" s="12">
        <f>25.73*1.2</f>
        <v>30.875999999999998</v>
      </c>
      <c r="G66" s="12">
        <f>25.73*1.2</f>
        <v>30.875999999999998</v>
      </c>
      <c r="H66" s="2"/>
    </row>
    <row r="67" spans="1:8" x14ac:dyDescent="0.55000000000000004">
      <c r="A67" s="19" t="s">
        <v>352</v>
      </c>
      <c r="B67" s="20">
        <v>1</v>
      </c>
      <c r="C67" s="19" t="s">
        <v>196</v>
      </c>
      <c r="D67" s="19" t="s">
        <v>166</v>
      </c>
      <c r="E67" s="7"/>
      <c r="F67" s="12">
        <f>21.38*1.2</f>
        <v>25.655999999999999</v>
      </c>
      <c r="G67" s="12">
        <f>21.38*1.2</f>
        <v>25.655999999999999</v>
      </c>
      <c r="H67" s="2"/>
    </row>
    <row r="68" spans="1:8" x14ac:dyDescent="0.55000000000000004">
      <c r="A68" s="19" t="s">
        <v>353</v>
      </c>
      <c r="B68" s="20">
        <v>1</v>
      </c>
      <c r="C68" s="19" t="s">
        <v>197</v>
      </c>
      <c r="D68" s="19" t="s">
        <v>166</v>
      </c>
      <c r="E68" s="7"/>
      <c r="F68" s="12">
        <f>4.91*1.2</f>
        <v>5.8920000000000003</v>
      </c>
      <c r="G68" s="12">
        <f>4.91*1.2</f>
        <v>5.8920000000000003</v>
      </c>
      <c r="H68" s="2"/>
    </row>
    <row r="69" spans="1:8" x14ac:dyDescent="0.55000000000000004">
      <c r="A69" s="19" t="s">
        <v>477</v>
      </c>
      <c r="B69" s="20">
        <v>1</v>
      </c>
      <c r="C69" s="19" t="s">
        <v>198</v>
      </c>
      <c r="D69" s="19" t="s">
        <v>478</v>
      </c>
      <c r="E69" s="12">
        <v>22.15</v>
      </c>
      <c r="F69" s="7"/>
      <c r="G69" s="7">
        <f>E69</f>
        <v>22.15</v>
      </c>
      <c r="H69" s="2"/>
    </row>
    <row r="70" spans="1:8" x14ac:dyDescent="0.55000000000000004">
      <c r="A70" s="19">
        <v>64508375741</v>
      </c>
      <c r="B70" s="20">
        <v>3</v>
      </c>
      <c r="C70" s="19" t="s">
        <v>321</v>
      </c>
      <c r="D70" s="20" t="s">
        <v>166</v>
      </c>
      <c r="E70" s="7"/>
      <c r="F70" s="12">
        <f>5.12*1.2</f>
        <v>6.1440000000000001</v>
      </c>
      <c r="G70" s="12">
        <f>5.12*1.2</f>
        <v>6.1440000000000001</v>
      </c>
      <c r="H70" s="2"/>
    </row>
    <row r="71" spans="1:8" x14ac:dyDescent="0.55000000000000004">
      <c r="A71" s="19" t="s">
        <v>366</v>
      </c>
      <c r="B71" s="20">
        <v>4</v>
      </c>
      <c r="C71" s="19" t="s">
        <v>143</v>
      </c>
      <c r="D71" s="20" t="s">
        <v>466</v>
      </c>
      <c r="E71" s="12">
        <v>20.190000000000001</v>
      </c>
      <c r="F71" s="7"/>
      <c r="G71" s="12">
        <f>E71</f>
        <v>20.190000000000001</v>
      </c>
      <c r="H71" s="2"/>
    </row>
    <row r="72" spans="1:8" x14ac:dyDescent="0.55000000000000004">
      <c r="A72" s="4"/>
      <c r="B72" s="3"/>
      <c r="C72" s="4"/>
      <c r="D72" s="3"/>
      <c r="E72" s="7">
        <f>SUM(E60:E69)</f>
        <v>182.6</v>
      </c>
      <c r="F72" s="7">
        <f>SUM(F60:F71)</f>
        <v>153.024</v>
      </c>
      <c r="G72" s="23">
        <f t="shared" ref="G72" si="1">SUM(G60:G69)</f>
        <v>326.46999999999997</v>
      </c>
      <c r="H72" s="2"/>
    </row>
    <row r="73" spans="1:8" x14ac:dyDescent="0.55000000000000004">
      <c r="A73" s="4"/>
      <c r="B73" s="3"/>
      <c r="C73" s="4"/>
      <c r="D73" s="3"/>
      <c r="E73" s="7"/>
      <c r="F73" s="7"/>
      <c r="G73" s="7"/>
      <c r="H73" s="2"/>
    </row>
    <row r="74" spans="1:8" x14ac:dyDescent="0.55000000000000004">
      <c r="A74" s="4"/>
      <c r="B74" s="3"/>
      <c r="C74" s="3"/>
      <c r="D74" s="3"/>
      <c r="E74" s="7"/>
      <c r="F74" s="7"/>
      <c r="G74" s="7"/>
      <c r="H74" s="2"/>
    </row>
    <row r="75" spans="1:8" x14ac:dyDescent="0.55000000000000004">
      <c r="A75" s="15" t="s">
        <v>4</v>
      </c>
      <c r="B75" s="3"/>
      <c r="C75" s="3" t="s">
        <v>481</v>
      </c>
      <c r="D75" s="3" t="s">
        <v>82</v>
      </c>
      <c r="E75" s="7">
        <v>300</v>
      </c>
      <c r="F75" s="7"/>
      <c r="G75" s="7">
        <v>300</v>
      </c>
      <c r="H75" s="2"/>
    </row>
    <row r="76" spans="1:8" x14ac:dyDescent="0.55000000000000004">
      <c r="A76" s="4"/>
      <c r="B76" s="3"/>
      <c r="C76" s="20" t="s">
        <v>474</v>
      </c>
      <c r="D76" s="20" t="s">
        <v>475</v>
      </c>
      <c r="E76" s="12">
        <v>16.62</v>
      </c>
      <c r="F76" s="7"/>
      <c r="G76" s="12">
        <f>E76</f>
        <v>16.62</v>
      </c>
      <c r="H76" s="2"/>
    </row>
    <row r="77" spans="1:8" x14ac:dyDescent="0.55000000000000004">
      <c r="A77" s="4"/>
      <c r="B77" s="3"/>
      <c r="C77" s="3"/>
      <c r="D77" s="3"/>
      <c r="E77" s="7"/>
      <c r="F77" s="7"/>
      <c r="G77" s="23">
        <f>SUM(G75:G76)</f>
        <v>316.62</v>
      </c>
      <c r="H77" s="2"/>
    </row>
    <row r="78" spans="1:8" x14ac:dyDescent="0.55000000000000004">
      <c r="A78" s="4"/>
      <c r="B78" s="3"/>
      <c r="C78" s="3"/>
      <c r="D78" s="3"/>
      <c r="E78" s="7"/>
      <c r="F78" s="7"/>
      <c r="G78" s="7"/>
      <c r="H78" s="2"/>
    </row>
    <row r="79" spans="1:8" x14ac:dyDescent="0.55000000000000004">
      <c r="A79" s="15" t="s">
        <v>480</v>
      </c>
      <c r="B79" s="3"/>
      <c r="C79" s="3"/>
      <c r="D79" s="3"/>
      <c r="E79" s="7"/>
      <c r="F79" s="7"/>
      <c r="G79" s="7"/>
      <c r="H79" s="2"/>
    </row>
    <row r="80" spans="1:8" x14ac:dyDescent="0.55000000000000004">
      <c r="A80" s="19" t="s">
        <v>369</v>
      </c>
      <c r="B80" s="20">
        <v>2</v>
      </c>
      <c r="C80" s="19" t="s">
        <v>326</v>
      </c>
      <c r="D80" s="20" t="s">
        <v>467</v>
      </c>
      <c r="E80" s="12">
        <f>6.63*2</f>
        <v>13.26</v>
      </c>
      <c r="F80" s="7"/>
      <c r="G80" s="12">
        <f>6.02*2</f>
        <v>12.04</v>
      </c>
      <c r="H80" s="2"/>
    </row>
    <row r="81" spans="1:8" x14ac:dyDescent="0.55000000000000004">
      <c r="A81" s="19">
        <v>22316760944</v>
      </c>
      <c r="B81" s="20">
        <v>2</v>
      </c>
      <c r="C81" s="19" t="s">
        <v>327</v>
      </c>
      <c r="D81" s="20" t="s">
        <v>166</v>
      </c>
      <c r="E81" s="7"/>
      <c r="F81" s="12">
        <f>1.64*1.2</f>
        <v>1.9679999999999997</v>
      </c>
      <c r="G81" s="12">
        <f>1.64*1.2</f>
        <v>1.9679999999999997</v>
      </c>
      <c r="H81" s="2"/>
    </row>
    <row r="82" spans="1:8" x14ac:dyDescent="0.55000000000000004">
      <c r="A82" s="22" t="s">
        <v>359</v>
      </c>
      <c r="B82" s="20">
        <v>2</v>
      </c>
      <c r="C82" s="19" t="s">
        <v>328</v>
      </c>
      <c r="D82" s="20" t="s">
        <v>166</v>
      </c>
      <c r="E82" s="7"/>
      <c r="F82" s="12">
        <f>2*1.2</f>
        <v>2.4</v>
      </c>
      <c r="G82" s="12">
        <f>2*1.2</f>
        <v>2.4</v>
      </c>
      <c r="H82" s="2"/>
    </row>
    <row r="83" spans="1:8" x14ac:dyDescent="0.55000000000000004">
      <c r="A83" s="22" t="s">
        <v>360</v>
      </c>
      <c r="B83" s="20">
        <v>6</v>
      </c>
      <c r="C83" s="19" t="s">
        <v>329</v>
      </c>
      <c r="D83" s="20" t="s">
        <v>166</v>
      </c>
      <c r="E83" s="7"/>
      <c r="F83" s="12">
        <f>4.47*1.2</f>
        <v>5.3639999999999999</v>
      </c>
      <c r="G83" s="12">
        <f>4.47*1.2</f>
        <v>5.3639999999999999</v>
      </c>
      <c r="H83" s="2"/>
    </row>
    <row r="84" spans="1:8" x14ac:dyDescent="0.55000000000000004">
      <c r="A84" s="19">
        <v>12311718712</v>
      </c>
      <c r="B84" s="20">
        <v>2</v>
      </c>
      <c r="C84" s="19" t="s">
        <v>332</v>
      </c>
      <c r="D84" s="20" t="s">
        <v>166</v>
      </c>
      <c r="E84" s="7"/>
      <c r="F84" s="12">
        <f>3.65*1.2</f>
        <v>4.38</v>
      </c>
      <c r="G84" s="12">
        <f>3.65*1.2</f>
        <v>4.38</v>
      </c>
      <c r="H84" s="2"/>
    </row>
    <row r="85" spans="1:8" x14ac:dyDescent="0.55000000000000004">
      <c r="A85" s="19" t="s">
        <v>370</v>
      </c>
      <c r="B85" s="20">
        <v>1</v>
      </c>
      <c r="C85" s="19" t="s">
        <v>157</v>
      </c>
      <c r="D85" s="19" t="s">
        <v>472</v>
      </c>
      <c r="E85" s="12">
        <v>265.07</v>
      </c>
      <c r="F85" s="7"/>
      <c r="G85" s="12">
        <f>E85</f>
        <v>265.07</v>
      </c>
      <c r="H85" s="2"/>
    </row>
    <row r="86" spans="1:8" x14ac:dyDescent="0.55000000000000004">
      <c r="A86" s="19" t="s">
        <v>433</v>
      </c>
      <c r="B86" s="20">
        <v>1</v>
      </c>
      <c r="C86" s="19" t="s">
        <v>159</v>
      </c>
      <c r="D86" s="19" t="s">
        <v>468</v>
      </c>
      <c r="E86" s="12">
        <v>27</v>
      </c>
      <c r="F86" s="7"/>
      <c r="G86" s="25">
        <f>E86</f>
        <v>27</v>
      </c>
      <c r="H86" s="2"/>
    </row>
    <row r="87" spans="1:8" x14ac:dyDescent="0.55000000000000004">
      <c r="A87" s="19" t="s">
        <v>389</v>
      </c>
      <c r="B87" s="21">
        <v>10</v>
      </c>
      <c r="C87" s="19" t="s">
        <v>391</v>
      </c>
      <c r="D87" s="19" t="s">
        <v>166</v>
      </c>
      <c r="E87" s="7"/>
      <c r="F87" s="12">
        <f>3.28*1.2</f>
        <v>3.9359999999999995</v>
      </c>
      <c r="G87" s="12">
        <f>F87</f>
        <v>3.9359999999999995</v>
      </c>
      <c r="H87" s="2"/>
    </row>
    <row r="88" spans="1:8" x14ac:dyDescent="0.55000000000000004">
      <c r="A88" s="19" t="s">
        <v>390</v>
      </c>
      <c r="B88" s="21">
        <v>10</v>
      </c>
      <c r="C88" s="19" t="s">
        <v>392</v>
      </c>
      <c r="D88" s="19" t="s">
        <v>166</v>
      </c>
      <c r="E88" s="7"/>
      <c r="F88" s="12">
        <f>4.1*1.2</f>
        <v>4.919999999999999</v>
      </c>
      <c r="G88" s="12">
        <f>4.1*1.2</f>
        <v>4.919999999999999</v>
      </c>
      <c r="H88" s="2"/>
    </row>
    <row r="89" spans="1:8" x14ac:dyDescent="0.55000000000000004">
      <c r="A89" s="19" t="s">
        <v>393</v>
      </c>
      <c r="B89" s="21">
        <v>1</v>
      </c>
      <c r="C89" s="19" t="s">
        <v>396</v>
      </c>
      <c r="D89" s="19" t="s">
        <v>166</v>
      </c>
      <c r="E89" s="7"/>
      <c r="F89" s="12">
        <f>25.71*1.2</f>
        <v>30.852</v>
      </c>
      <c r="G89" s="12">
        <f>25.71*1.2</f>
        <v>30.852</v>
      </c>
      <c r="H89" s="2"/>
    </row>
    <row r="90" spans="1:8" x14ac:dyDescent="0.55000000000000004">
      <c r="A90" s="19" t="s">
        <v>394</v>
      </c>
      <c r="B90" s="21">
        <v>1</v>
      </c>
      <c r="C90" s="19" t="s">
        <v>397</v>
      </c>
      <c r="D90" s="19" t="s">
        <v>166</v>
      </c>
      <c r="E90" s="7"/>
      <c r="F90" s="12">
        <f>1.55*1.2</f>
        <v>1.8599999999999999</v>
      </c>
      <c r="G90" s="12">
        <f>1.55*1.2</f>
        <v>1.8599999999999999</v>
      </c>
      <c r="H90" s="2"/>
    </row>
    <row r="91" spans="1:8" x14ac:dyDescent="0.55000000000000004">
      <c r="A91" s="19" t="s">
        <v>395</v>
      </c>
      <c r="B91" s="21">
        <v>1</v>
      </c>
      <c r="C91" s="19" t="s">
        <v>398</v>
      </c>
      <c r="D91" s="19" t="s">
        <v>166</v>
      </c>
      <c r="E91" s="7"/>
      <c r="F91" s="12">
        <f>20.3*1.2</f>
        <v>24.36</v>
      </c>
      <c r="G91" s="12">
        <f>20.3*1.2</f>
        <v>24.36</v>
      </c>
      <c r="H91" s="2"/>
    </row>
    <row r="92" spans="1:8" x14ac:dyDescent="0.55000000000000004">
      <c r="A92" s="19" t="s">
        <v>400</v>
      </c>
      <c r="B92" s="21">
        <v>1</v>
      </c>
      <c r="C92" s="19" t="s">
        <v>399</v>
      </c>
      <c r="D92" s="19" t="s">
        <v>166</v>
      </c>
      <c r="E92" s="7"/>
      <c r="F92" s="12">
        <f>47.67*1.2</f>
        <v>57.204000000000001</v>
      </c>
      <c r="G92" s="12">
        <f>47.67*1.2</f>
        <v>57.204000000000001</v>
      </c>
      <c r="H92" s="2"/>
    </row>
    <row r="93" spans="1:8" x14ac:dyDescent="0.55000000000000004">
      <c r="A93" s="4"/>
      <c r="B93" s="4"/>
      <c r="C93" s="4"/>
      <c r="D93" s="4"/>
      <c r="E93" s="7">
        <f>SUM(E37:E92)</f>
        <v>1054.99</v>
      </c>
      <c r="F93" s="7">
        <f>SUM(F80:F92)</f>
        <v>137.244</v>
      </c>
      <c r="G93" s="23">
        <f>SUM(G80:G92)</f>
        <v>441.35399999999998</v>
      </c>
      <c r="H93" s="2"/>
    </row>
    <row r="94" spans="1:8" x14ac:dyDescent="0.55000000000000004">
      <c r="A94" s="4"/>
      <c r="B94" s="4"/>
      <c r="C94" s="4"/>
      <c r="D94" s="4"/>
      <c r="E94" s="7"/>
      <c r="F94" s="7"/>
      <c r="G94" s="7"/>
      <c r="H94" s="2"/>
    </row>
    <row r="95" spans="1:8" x14ac:dyDescent="0.55000000000000004">
      <c r="A95" s="4"/>
      <c r="B95" s="4"/>
      <c r="C95" s="4"/>
      <c r="D95" s="4"/>
      <c r="E95" s="7">
        <f>E40+E57+E72+E75+E93</f>
        <v>1585.24</v>
      </c>
      <c r="F95" s="7">
        <f>F40+F57+F72+F75+F93</f>
        <v>2652.7320000000004</v>
      </c>
      <c r="G95" s="7">
        <f>G40+G57+G72+G77+G93</f>
        <v>3409.5359999999996</v>
      </c>
      <c r="H95" s="2"/>
    </row>
    <row r="96" spans="1:8" x14ac:dyDescent="0.55000000000000004">
      <c r="A96" s="4"/>
      <c r="B96" s="4"/>
      <c r="C96" s="4"/>
      <c r="D96" s="4"/>
      <c r="E96" s="7"/>
      <c r="F96" s="7"/>
      <c r="G96" s="7"/>
      <c r="H96" s="2"/>
    </row>
    <row r="97" spans="8:8" x14ac:dyDescent="0.55000000000000004">
      <c r="H97" s="2"/>
    </row>
    <row r="98" spans="8:8" x14ac:dyDescent="0.55000000000000004">
      <c r="H98" s="2"/>
    </row>
    <row r="99" spans="8:8" x14ac:dyDescent="0.55000000000000004">
      <c r="H99" s="2"/>
    </row>
    <row r="100" spans="8:8" x14ac:dyDescent="0.55000000000000004">
      <c r="H100" s="2"/>
    </row>
    <row r="101" spans="8:8" x14ac:dyDescent="0.55000000000000004">
      <c r="H101" s="2"/>
    </row>
    <row r="102" spans="8:8" x14ac:dyDescent="0.55000000000000004">
      <c r="H102" s="2"/>
    </row>
    <row r="103" spans="8:8" x14ac:dyDescent="0.55000000000000004">
      <c r="H103" s="2"/>
    </row>
    <row r="104" spans="8:8" x14ac:dyDescent="0.55000000000000004">
      <c r="H104" s="8"/>
    </row>
    <row r="105" spans="8:8" x14ac:dyDescent="0.55000000000000004">
      <c r="H105" s="8"/>
    </row>
    <row r="106" spans="8:8" x14ac:dyDescent="0.55000000000000004">
      <c r="H106" s="8"/>
    </row>
    <row r="107" spans="8:8" x14ac:dyDescent="0.55000000000000004">
      <c r="H107" s="8"/>
    </row>
    <row r="108" spans="8:8" x14ac:dyDescent="0.55000000000000004">
      <c r="H108" s="8"/>
    </row>
    <row r="109" spans="8:8" x14ac:dyDescent="0.55000000000000004">
      <c r="H109" s="8"/>
    </row>
    <row r="110" spans="8:8" x14ac:dyDescent="0.55000000000000004">
      <c r="H110" s="8"/>
    </row>
    <row r="111" spans="8:8" x14ac:dyDescent="0.55000000000000004">
      <c r="H111" s="8"/>
    </row>
    <row r="112" spans="8:8" x14ac:dyDescent="0.55000000000000004">
      <c r="H112" s="8"/>
    </row>
    <row r="113" spans="8:8" x14ac:dyDescent="0.55000000000000004">
      <c r="H113" s="8"/>
    </row>
    <row r="114" spans="8:8" x14ac:dyDescent="0.55000000000000004">
      <c r="H114" s="8"/>
    </row>
    <row r="115" spans="8:8" x14ac:dyDescent="0.55000000000000004">
      <c r="H115" s="8"/>
    </row>
    <row r="116" spans="8:8" x14ac:dyDescent="0.55000000000000004">
      <c r="H116" s="8"/>
    </row>
    <row r="117" spans="8:8" x14ac:dyDescent="0.55000000000000004">
      <c r="H117" s="8"/>
    </row>
    <row r="118" spans="8:8" x14ac:dyDescent="0.55000000000000004">
      <c r="H118" s="8"/>
    </row>
    <row r="119" spans="8:8" x14ac:dyDescent="0.55000000000000004">
      <c r="H119" s="8"/>
    </row>
    <row r="120" spans="8:8" x14ac:dyDescent="0.55000000000000004">
      <c r="H120" s="8"/>
    </row>
    <row r="121" spans="8:8" x14ac:dyDescent="0.55000000000000004">
      <c r="H121" s="8"/>
    </row>
    <row r="122" spans="8:8" x14ac:dyDescent="0.55000000000000004">
      <c r="H122" s="8"/>
    </row>
    <row r="123" spans="8:8" x14ac:dyDescent="0.55000000000000004">
      <c r="H123" s="8"/>
    </row>
    <row r="124" spans="8:8" x14ac:dyDescent="0.55000000000000004">
      <c r="H124" s="8"/>
    </row>
  </sheetData>
  <mergeCells count="1">
    <mergeCell ref="A1:D1"/>
  </mergeCells>
  <pageMargins left="0.70866141732283472" right="0.70866141732283472" top="0.74803149606299213" bottom="0.74803149606299213" header="0.31496062992125984" footer="0.31496062992125984"/>
  <pageSetup paperSize="9" scale="56" fitToHeight="0" orientation="portrait" r:id="rId1"/>
  <rowBreaks count="4" manualBreakCount="4">
    <brk id="41" max="6" man="1"/>
    <brk id="58" max="6" man="1"/>
    <brk id="74" max="6" man="1"/>
    <brk id="78" max="6" man="1"/>
  </rowBreaks>
  <colBreaks count="1" manualBreakCount="1">
    <brk id="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1"/>
  <sheetViews>
    <sheetView topLeftCell="A128" workbookViewId="0"/>
  </sheetViews>
  <sheetFormatPr defaultRowHeight="14.4" x14ac:dyDescent="0.55000000000000004"/>
  <cols>
    <col min="1" max="1" width="54.7890625" bestFit="1" customWidth="1"/>
    <col min="2" max="2" width="20.15625" bestFit="1" customWidth="1"/>
  </cols>
  <sheetData>
    <row r="1" spans="1:4" x14ac:dyDescent="0.55000000000000004">
      <c r="A1" t="s">
        <v>379</v>
      </c>
    </row>
    <row r="2" spans="1:4" x14ac:dyDescent="0.55000000000000004">
      <c r="A2" s="1" t="s">
        <v>157</v>
      </c>
      <c r="B2">
        <v>21217515146</v>
      </c>
      <c r="C2">
        <v>1</v>
      </c>
      <c r="D2" t="s">
        <v>158</v>
      </c>
    </row>
    <row r="3" spans="1:4" x14ac:dyDescent="0.55000000000000004">
      <c r="A3" s="1" t="s">
        <v>159</v>
      </c>
      <c r="B3" t="s">
        <v>160</v>
      </c>
      <c r="C3">
        <v>1</v>
      </c>
      <c r="D3" t="s">
        <v>161</v>
      </c>
    </row>
    <row r="4" spans="1:4" x14ac:dyDescent="0.55000000000000004">
      <c r="A4" s="1" t="s">
        <v>162</v>
      </c>
      <c r="B4">
        <v>11211720310</v>
      </c>
      <c r="C4">
        <v>1</v>
      </c>
      <c r="D4" t="s">
        <v>163</v>
      </c>
    </row>
    <row r="5" spans="1:4" x14ac:dyDescent="0.55000000000000004">
      <c r="A5" s="1" t="s">
        <v>164</v>
      </c>
      <c r="B5">
        <v>21212229190</v>
      </c>
      <c r="C5">
        <v>1</v>
      </c>
      <c r="D5" t="s">
        <v>158</v>
      </c>
    </row>
    <row r="6" spans="1:4" x14ac:dyDescent="0.55000000000000004">
      <c r="A6" s="1" t="s">
        <v>165</v>
      </c>
      <c r="B6">
        <v>11211736881</v>
      </c>
      <c r="C6">
        <v>1</v>
      </c>
      <c r="D6" t="s">
        <v>166</v>
      </c>
    </row>
    <row r="7" spans="1:4" x14ac:dyDescent="0.55000000000000004">
      <c r="A7" s="1" t="s">
        <v>167</v>
      </c>
      <c r="B7">
        <v>11221709069</v>
      </c>
      <c r="C7">
        <v>1</v>
      </c>
      <c r="D7" t="s">
        <v>166</v>
      </c>
    </row>
    <row r="8" spans="1:4" x14ac:dyDescent="0.55000000000000004">
      <c r="A8" s="1" t="s">
        <v>168</v>
      </c>
      <c r="B8">
        <v>21526751171</v>
      </c>
      <c r="C8">
        <v>1</v>
      </c>
      <c r="D8" t="s">
        <v>166</v>
      </c>
    </row>
    <row r="9" spans="1:4" x14ac:dyDescent="0.55000000000000004">
      <c r="A9" t="s">
        <v>169</v>
      </c>
      <c r="B9">
        <v>25112282400</v>
      </c>
      <c r="C9">
        <v>1</v>
      </c>
      <c r="D9" t="s">
        <v>166</v>
      </c>
    </row>
    <row r="10" spans="1:4" x14ac:dyDescent="0.55000000000000004">
      <c r="A10" s="1" t="s">
        <v>170</v>
      </c>
      <c r="B10">
        <v>11211407796</v>
      </c>
      <c r="C10">
        <v>1</v>
      </c>
      <c r="D10" t="s">
        <v>171</v>
      </c>
    </row>
    <row r="11" spans="1:4" x14ac:dyDescent="0.55000000000000004">
      <c r="A11" s="1" t="s">
        <v>172</v>
      </c>
      <c r="B11">
        <v>11211725917</v>
      </c>
      <c r="C11">
        <v>5</v>
      </c>
      <c r="D11" t="s">
        <v>166</v>
      </c>
    </row>
    <row r="12" spans="1:4" x14ac:dyDescent="0.55000000000000004">
      <c r="A12" s="1" t="s">
        <v>173</v>
      </c>
      <c r="B12">
        <v>11211702144</v>
      </c>
      <c r="C12">
        <v>2</v>
      </c>
      <c r="D12" t="s">
        <v>166</v>
      </c>
    </row>
    <row r="13" spans="1:4" x14ac:dyDescent="0.55000000000000004">
      <c r="A13" s="1" t="s">
        <v>174</v>
      </c>
      <c r="B13">
        <v>11211702147</v>
      </c>
      <c r="C13">
        <v>2</v>
      </c>
      <c r="D13" t="s">
        <v>166</v>
      </c>
    </row>
    <row r="14" spans="1:4" x14ac:dyDescent="0.55000000000000004">
      <c r="A14" s="1" t="s">
        <v>175</v>
      </c>
      <c r="B14">
        <v>11211725908</v>
      </c>
      <c r="C14">
        <v>5</v>
      </c>
      <c r="D14" t="s">
        <v>166</v>
      </c>
    </row>
    <row r="15" spans="1:4" x14ac:dyDescent="0.55000000000000004">
      <c r="A15" s="1" t="s">
        <v>176</v>
      </c>
      <c r="B15">
        <v>11111745188</v>
      </c>
      <c r="C15">
        <v>10</v>
      </c>
      <c r="D15" t="s">
        <v>166</v>
      </c>
    </row>
    <row r="16" spans="1:4" x14ac:dyDescent="0.55000000000000004">
      <c r="A16" s="1" t="s">
        <v>177</v>
      </c>
      <c r="B16">
        <v>11111736005</v>
      </c>
      <c r="C16">
        <v>10</v>
      </c>
      <c r="D16" t="s">
        <v>166</v>
      </c>
    </row>
    <row r="17" spans="1:4" x14ac:dyDescent="0.55000000000000004">
      <c r="A17" s="1" t="s">
        <v>178</v>
      </c>
      <c r="B17">
        <v>11231402618</v>
      </c>
      <c r="C17">
        <v>4</v>
      </c>
      <c r="D17" t="s">
        <v>166</v>
      </c>
    </row>
    <row r="18" spans="1:4" x14ac:dyDescent="0.55000000000000004">
      <c r="A18" s="1" t="s">
        <v>179</v>
      </c>
      <c r="B18">
        <v>83300490861</v>
      </c>
      <c r="C18">
        <v>1</v>
      </c>
      <c r="D18" t="s">
        <v>166</v>
      </c>
    </row>
    <row r="19" spans="1:4" x14ac:dyDescent="0.55000000000000004">
      <c r="A19" s="1" t="s">
        <v>180</v>
      </c>
      <c r="B19" t="s">
        <v>181</v>
      </c>
      <c r="C19">
        <v>1</v>
      </c>
      <c r="D19" t="s">
        <v>182</v>
      </c>
    </row>
    <row r="20" spans="1:4" x14ac:dyDescent="0.55000000000000004">
      <c r="A20" s="1" t="s">
        <v>180</v>
      </c>
      <c r="B20">
        <v>83300493386</v>
      </c>
      <c r="C20">
        <v>1</v>
      </c>
      <c r="D20" t="s">
        <v>166</v>
      </c>
    </row>
    <row r="21" spans="1:4" x14ac:dyDescent="0.55000000000000004">
      <c r="A21" t="s">
        <v>183</v>
      </c>
      <c r="B21">
        <v>17417505109</v>
      </c>
      <c r="C21">
        <v>1</v>
      </c>
      <c r="D21" t="s">
        <v>184</v>
      </c>
    </row>
    <row r="22" spans="1:4" x14ac:dyDescent="0.55000000000000004">
      <c r="A22" t="s">
        <v>185</v>
      </c>
      <c r="B22">
        <v>17417504732</v>
      </c>
      <c r="C22">
        <v>1</v>
      </c>
      <c r="D22" t="s">
        <v>166</v>
      </c>
    </row>
    <row r="23" spans="1:4" x14ac:dyDescent="0.55000000000000004">
      <c r="A23" s="1" t="s">
        <v>186</v>
      </c>
      <c r="B23">
        <v>13627839138</v>
      </c>
      <c r="C23">
        <v>1</v>
      </c>
      <c r="D23" t="s">
        <v>187</v>
      </c>
    </row>
    <row r="24" spans="1:4" x14ac:dyDescent="0.55000000000000004">
      <c r="A24" s="1" t="s">
        <v>188</v>
      </c>
      <c r="B24">
        <v>11627505789</v>
      </c>
      <c r="C24">
        <v>3</v>
      </c>
      <c r="D24" t="s">
        <v>189</v>
      </c>
    </row>
    <row r="25" spans="1:4" x14ac:dyDescent="0.55000000000000004">
      <c r="A25" s="1" t="s">
        <v>190</v>
      </c>
      <c r="B25">
        <v>11627509677</v>
      </c>
      <c r="C25">
        <v>1</v>
      </c>
      <c r="D25" t="s">
        <v>191</v>
      </c>
    </row>
    <row r="26" spans="1:4" x14ac:dyDescent="0.55000000000000004">
      <c r="A26" s="1" t="s">
        <v>192</v>
      </c>
      <c r="B26">
        <v>18107523805</v>
      </c>
      <c r="C26">
        <v>16</v>
      </c>
      <c r="D26" t="s">
        <v>166</v>
      </c>
    </row>
    <row r="27" spans="1:4" x14ac:dyDescent="0.55000000000000004">
      <c r="A27" s="1" t="s">
        <v>193</v>
      </c>
      <c r="B27">
        <v>7129908157</v>
      </c>
      <c r="C27">
        <v>16</v>
      </c>
      <c r="D27" t="s">
        <v>166</v>
      </c>
    </row>
    <row r="28" spans="1:4" x14ac:dyDescent="0.55000000000000004">
      <c r="A28" t="s">
        <v>194</v>
      </c>
      <c r="B28">
        <v>31352229544</v>
      </c>
      <c r="C28">
        <v>2</v>
      </c>
      <c r="D28" t="s">
        <v>166</v>
      </c>
    </row>
    <row r="29" spans="1:4" x14ac:dyDescent="0.55000000000000004">
      <c r="A29" s="1" t="s">
        <v>195</v>
      </c>
      <c r="B29">
        <v>11141275466</v>
      </c>
      <c r="C29">
        <v>1</v>
      </c>
      <c r="D29" t="s">
        <v>189</v>
      </c>
    </row>
    <row r="30" spans="1:4" x14ac:dyDescent="0.55000000000000004">
      <c r="A30" s="1"/>
    </row>
    <row r="31" spans="1:4" x14ac:dyDescent="0.55000000000000004">
      <c r="A31" s="1" t="s">
        <v>196</v>
      </c>
      <c r="B31">
        <v>11141710247</v>
      </c>
      <c r="C31">
        <v>1</v>
      </c>
      <c r="D31" t="s">
        <v>189</v>
      </c>
    </row>
    <row r="32" spans="1:4" x14ac:dyDescent="0.55000000000000004">
      <c r="A32" s="1" t="s">
        <v>197</v>
      </c>
      <c r="B32">
        <v>11141736521</v>
      </c>
      <c r="C32">
        <v>1</v>
      </c>
      <c r="D32" t="s">
        <v>191</v>
      </c>
    </row>
    <row r="33" spans="1:4" x14ac:dyDescent="0.55000000000000004">
      <c r="A33" s="1" t="s">
        <v>198</v>
      </c>
      <c r="B33">
        <v>11141405969</v>
      </c>
      <c r="C33">
        <v>1</v>
      </c>
      <c r="D33" t="s">
        <v>166</v>
      </c>
    </row>
    <row r="34" spans="1:4" x14ac:dyDescent="0.55000000000000004">
      <c r="A34" t="s">
        <v>199</v>
      </c>
      <c r="C34">
        <v>2</v>
      </c>
    </row>
    <row r="35" spans="1:4" x14ac:dyDescent="0.55000000000000004">
      <c r="A35" t="s">
        <v>200</v>
      </c>
      <c r="C35">
        <v>1</v>
      </c>
    </row>
    <row r="36" spans="1:4" x14ac:dyDescent="0.55000000000000004">
      <c r="A36" t="s">
        <v>201</v>
      </c>
      <c r="C36">
        <v>1</v>
      </c>
    </row>
    <row r="37" spans="1:4" x14ac:dyDescent="0.55000000000000004">
      <c r="A37" t="s">
        <v>202</v>
      </c>
      <c r="B37" t="s">
        <v>203</v>
      </c>
      <c r="C37">
        <v>1</v>
      </c>
      <c r="D37" t="s">
        <v>204</v>
      </c>
    </row>
    <row r="38" spans="1:4" x14ac:dyDescent="0.55000000000000004">
      <c r="A38" s="1" t="s">
        <v>205</v>
      </c>
      <c r="B38">
        <v>11367830828</v>
      </c>
      <c r="C38">
        <v>8</v>
      </c>
      <c r="D38" t="s">
        <v>166</v>
      </c>
    </row>
    <row r="39" spans="1:4" x14ac:dyDescent="0.55000000000000004">
      <c r="A39" s="1" t="s">
        <v>206</v>
      </c>
      <c r="B39">
        <v>11367830829</v>
      </c>
      <c r="C39">
        <v>8</v>
      </c>
      <c r="D39" t="s">
        <v>166</v>
      </c>
    </row>
    <row r="40" spans="1:4" x14ac:dyDescent="0.55000000000000004">
      <c r="A40" s="1" t="s">
        <v>207</v>
      </c>
      <c r="B40">
        <v>11361406838</v>
      </c>
      <c r="C40">
        <v>8</v>
      </c>
      <c r="D40" t="s">
        <v>191</v>
      </c>
    </row>
    <row r="41" spans="1:4" x14ac:dyDescent="0.55000000000000004">
      <c r="A41" s="1" t="s">
        <v>208</v>
      </c>
      <c r="B41">
        <v>7119963072</v>
      </c>
      <c r="C41">
        <v>6</v>
      </c>
      <c r="D41" t="s">
        <v>166</v>
      </c>
    </row>
    <row r="42" spans="1:4" x14ac:dyDescent="0.55000000000000004">
      <c r="A42" s="1" t="s">
        <v>209</v>
      </c>
      <c r="B42">
        <v>7119963129</v>
      </c>
      <c r="C42">
        <v>4</v>
      </c>
      <c r="D42" t="s">
        <v>166</v>
      </c>
    </row>
    <row r="43" spans="1:4" x14ac:dyDescent="0.55000000000000004">
      <c r="A43" s="1"/>
      <c r="B43">
        <v>7119963042</v>
      </c>
      <c r="C43">
        <v>1</v>
      </c>
      <c r="D43" t="s">
        <v>166</v>
      </c>
    </row>
    <row r="44" spans="1:4" x14ac:dyDescent="0.55000000000000004">
      <c r="A44" s="1" t="s">
        <v>210</v>
      </c>
      <c r="B44">
        <v>7129905554</v>
      </c>
      <c r="C44">
        <v>4</v>
      </c>
      <c r="D44" t="s">
        <v>166</v>
      </c>
    </row>
    <row r="45" spans="1:4" x14ac:dyDescent="0.55000000000000004">
      <c r="A45" s="1" t="s">
        <v>211</v>
      </c>
      <c r="B45">
        <v>7129903807</v>
      </c>
      <c r="C45">
        <v>24</v>
      </c>
      <c r="D45" t="s">
        <v>166</v>
      </c>
    </row>
    <row r="46" spans="1:4" x14ac:dyDescent="0.55000000000000004">
      <c r="A46" s="1" t="s">
        <v>212</v>
      </c>
      <c r="B46">
        <v>7119913589</v>
      </c>
      <c r="C46">
        <v>24</v>
      </c>
      <c r="D46" t="s">
        <v>166</v>
      </c>
    </row>
    <row r="47" spans="1:4" x14ac:dyDescent="0.55000000000000004">
      <c r="A47" s="1" t="s">
        <v>213</v>
      </c>
      <c r="B47">
        <v>11367833218</v>
      </c>
      <c r="C47">
        <v>4</v>
      </c>
      <c r="D47" t="s">
        <v>166</v>
      </c>
    </row>
    <row r="48" spans="1:4" x14ac:dyDescent="0.55000000000000004">
      <c r="A48" s="1" t="s">
        <v>214</v>
      </c>
      <c r="B48">
        <v>11361406944</v>
      </c>
      <c r="C48">
        <v>2</v>
      </c>
      <c r="D48" t="s">
        <v>166</v>
      </c>
    </row>
    <row r="49" spans="1:4" x14ac:dyDescent="0.55000000000000004">
      <c r="A49" s="1" t="s">
        <v>215</v>
      </c>
      <c r="B49">
        <v>7119934749</v>
      </c>
      <c r="C49">
        <v>2</v>
      </c>
      <c r="D49" t="s">
        <v>166</v>
      </c>
    </row>
    <row r="50" spans="1:4" x14ac:dyDescent="0.55000000000000004">
      <c r="A50" t="s">
        <v>216</v>
      </c>
      <c r="B50" t="s">
        <v>217</v>
      </c>
      <c r="C50">
        <v>1</v>
      </c>
      <c r="D50" t="s">
        <v>218</v>
      </c>
    </row>
    <row r="51" spans="1:4" x14ac:dyDescent="0.55000000000000004">
      <c r="A51" t="s">
        <v>0</v>
      </c>
      <c r="B51" t="s">
        <v>219</v>
      </c>
      <c r="C51">
        <v>2</v>
      </c>
      <c r="D51" t="s">
        <v>220</v>
      </c>
    </row>
    <row r="52" spans="1:4" x14ac:dyDescent="0.55000000000000004">
      <c r="A52" t="s">
        <v>221</v>
      </c>
      <c r="B52">
        <v>32211091723</v>
      </c>
      <c r="C52">
        <v>1</v>
      </c>
      <c r="D52" t="s">
        <v>222</v>
      </c>
    </row>
    <row r="53" spans="1:4" x14ac:dyDescent="0.55000000000000004">
      <c r="A53" t="s">
        <v>223</v>
      </c>
      <c r="B53">
        <v>32211091724</v>
      </c>
      <c r="C53">
        <v>1</v>
      </c>
      <c r="D53" t="s">
        <v>222</v>
      </c>
    </row>
    <row r="54" spans="1:4" x14ac:dyDescent="0.55000000000000004">
      <c r="A54" t="s">
        <v>224</v>
      </c>
      <c r="B54">
        <v>32211094586</v>
      </c>
      <c r="C54">
        <v>2</v>
      </c>
      <c r="D54" t="s">
        <v>166</v>
      </c>
    </row>
    <row r="55" spans="1:4" x14ac:dyDescent="0.55000000000000004">
      <c r="A55" t="s">
        <v>225</v>
      </c>
      <c r="B55">
        <v>11421702916</v>
      </c>
      <c r="C55">
        <v>2</v>
      </c>
      <c r="D55" t="s">
        <v>191</v>
      </c>
    </row>
    <row r="56" spans="1:4" x14ac:dyDescent="0.55000000000000004">
      <c r="A56" t="s">
        <v>226</v>
      </c>
      <c r="B56">
        <v>11421702905</v>
      </c>
      <c r="C56">
        <v>2</v>
      </c>
      <c r="D56" t="s">
        <v>191</v>
      </c>
    </row>
    <row r="57" spans="1:4" x14ac:dyDescent="0.55000000000000004">
      <c r="A57" t="s">
        <v>227</v>
      </c>
      <c r="B57">
        <v>7119963200</v>
      </c>
      <c r="C57">
        <v>2</v>
      </c>
      <c r="D57" t="s">
        <v>189</v>
      </c>
    </row>
    <row r="58" spans="1:4" x14ac:dyDescent="0.55000000000000004">
      <c r="A58" t="s">
        <v>228</v>
      </c>
      <c r="B58">
        <v>32411129986</v>
      </c>
      <c r="C58">
        <v>2</v>
      </c>
      <c r="D58" t="s">
        <v>166</v>
      </c>
    </row>
    <row r="59" spans="1:4" x14ac:dyDescent="0.55000000000000004">
      <c r="A59" t="s">
        <v>229</v>
      </c>
      <c r="B59" t="s">
        <v>230</v>
      </c>
      <c r="C59">
        <v>2</v>
      </c>
      <c r="D59" t="s">
        <v>231</v>
      </c>
    </row>
    <row r="60" spans="1:4" x14ac:dyDescent="0.55000000000000004">
      <c r="A60" s="1" t="s">
        <v>232</v>
      </c>
      <c r="B60">
        <v>11531406249</v>
      </c>
      <c r="C60">
        <v>4</v>
      </c>
      <c r="D60" t="s">
        <v>191</v>
      </c>
    </row>
    <row r="61" spans="1:4" x14ac:dyDescent="0.55000000000000004">
      <c r="A61" s="1" t="s">
        <v>233</v>
      </c>
      <c r="B61">
        <v>11531407002</v>
      </c>
      <c r="C61">
        <v>2</v>
      </c>
      <c r="D61" t="s">
        <v>166</v>
      </c>
    </row>
    <row r="62" spans="1:4" x14ac:dyDescent="0.55000000000000004">
      <c r="A62" s="1" t="s">
        <v>41</v>
      </c>
      <c r="B62">
        <v>11537835558</v>
      </c>
      <c r="C62">
        <v>1</v>
      </c>
      <c r="D62" t="s">
        <v>184</v>
      </c>
    </row>
    <row r="63" spans="1:4" x14ac:dyDescent="0.55000000000000004">
      <c r="A63" s="1" t="s">
        <v>234</v>
      </c>
      <c r="B63">
        <v>7119963225</v>
      </c>
      <c r="C63">
        <v>2</v>
      </c>
      <c r="D63" t="s">
        <v>166</v>
      </c>
    </row>
    <row r="64" spans="1:4" x14ac:dyDescent="0.55000000000000004">
      <c r="A64" s="1" t="s">
        <v>235</v>
      </c>
      <c r="B64">
        <v>11511407113</v>
      </c>
      <c r="C64">
        <v>1</v>
      </c>
      <c r="D64" t="s">
        <v>236</v>
      </c>
    </row>
    <row r="65" spans="1:4" x14ac:dyDescent="0.55000000000000004">
      <c r="A65" s="1" t="s">
        <v>237</v>
      </c>
      <c r="B65">
        <v>11511406765</v>
      </c>
      <c r="C65">
        <v>1</v>
      </c>
      <c r="D65" t="s">
        <v>191</v>
      </c>
    </row>
    <row r="66" spans="1:4" x14ac:dyDescent="0.55000000000000004">
      <c r="A66" s="1" t="s">
        <v>238</v>
      </c>
      <c r="B66">
        <v>11151407344</v>
      </c>
      <c r="C66">
        <v>1</v>
      </c>
      <c r="D66" t="s">
        <v>166</v>
      </c>
    </row>
    <row r="67" spans="1:4" x14ac:dyDescent="0.55000000000000004">
      <c r="A67" s="1" t="s">
        <v>239</v>
      </c>
      <c r="B67">
        <v>11151406902</v>
      </c>
      <c r="C67">
        <v>1</v>
      </c>
      <c r="D67" t="s">
        <v>166</v>
      </c>
    </row>
    <row r="68" spans="1:4" x14ac:dyDescent="0.55000000000000004">
      <c r="A68" s="1" t="s">
        <v>240</v>
      </c>
      <c r="B68">
        <v>7129952107</v>
      </c>
      <c r="C68">
        <v>4</v>
      </c>
      <c r="D68" t="s">
        <v>166</v>
      </c>
    </row>
    <row r="69" spans="1:4" x14ac:dyDescent="0.55000000000000004">
      <c r="A69" s="1" t="s">
        <v>241</v>
      </c>
      <c r="B69">
        <v>11431707164</v>
      </c>
      <c r="C69">
        <v>1</v>
      </c>
      <c r="D69" t="s">
        <v>191</v>
      </c>
    </row>
    <row r="70" spans="1:4" x14ac:dyDescent="0.55000000000000004">
      <c r="A70" s="1" t="s">
        <v>242</v>
      </c>
      <c r="B70">
        <v>11151276486</v>
      </c>
      <c r="C70">
        <v>1</v>
      </c>
      <c r="D70" t="s">
        <v>166</v>
      </c>
    </row>
    <row r="71" spans="1:4" x14ac:dyDescent="0.55000000000000004">
      <c r="A71" s="1" t="s">
        <v>243</v>
      </c>
      <c r="B71">
        <v>11611312737</v>
      </c>
      <c r="C71">
        <v>1</v>
      </c>
      <c r="D71" t="s">
        <v>244</v>
      </c>
    </row>
    <row r="72" spans="1:4" x14ac:dyDescent="0.55000000000000004">
      <c r="A72" s="1" t="s">
        <v>245</v>
      </c>
      <c r="B72">
        <v>11727545323</v>
      </c>
      <c r="C72">
        <v>2</v>
      </c>
      <c r="D72" t="s">
        <v>246</v>
      </c>
    </row>
    <row r="73" spans="1:4" x14ac:dyDescent="0.55000000000000004">
      <c r="A73" s="1" t="s">
        <v>247</v>
      </c>
      <c r="B73">
        <v>11727837591</v>
      </c>
      <c r="C73">
        <v>2</v>
      </c>
      <c r="D73" t="s">
        <v>166</v>
      </c>
    </row>
    <row r="74" spans="1:4" x14ac:dyDescent="0.55000000000000004">
      <c r="A74" s="1" t="s">
        <v>248</v>
      </c>
      <c r="B74">
        <v>11727837592</v>
      </c>
      <c r="C74">
        <v>1</v>
      </c>
      <c r="D74" t="s">
        <v>166</v>
      </c>
    </row>
    <row r="75" spans="1:4" x14ac:dyDescent="0.55000000000000004">
      <c r="A75" s="1" t="s">
        <v>249</v>
      </c>
      <c r="B75">
        <v>11731407822</v>
      </c>
      <c r="C75">
        <v>1</v>
      </c>
      <c r="D75" t="s">
        <v>166</v>
      </c>
    </row>
    <row r="76" spans="1:4" x14ac:dyDescent="0.55000000000000004">
      <c r="A76" s="1" t="s">
        <v>250</v>
      </c>
      <c r="B76">
        <v>12141722928</v>
      </c>
      <c r="C76">
        <v>1</v>
      </c>
      <c r="D76" t="s">
        <v>166</v>
      </c>
    </row>
    <row r="77" spans="1:4" x14ac:dyDescent="0.55000000000000004">
      <c r="A77" s="1" t="s">
        <v>251</v>
      </c>
      <c r="B77">
        <v>11151406900</v>
      </c>
      <c r="C77">
        <v>1</v>
      </c>
      <c r="D77" t="s">
        <v>166</v>
      </c>
    </row>
    <row r="78" spans="1:4" x14ac:dyDescent="0.55000000000000004">
      <c r="A78" s="1" t="s">
        <v>252</v>
      </c>
      <c r="B78">
        <v>11611407391</v>
      </c>
      <c r="C78">
        <v>1</v>
      </c>
      <c r="D78" t="s">
        <v>166</v>
      </c>
    </row>
    <row r="79" spans="1:4" x14ac:dyDescent="0.55000000000000004">
      <c r="A79" s="1" t="s">
        <v>253</v>
      </c>
      <c r="B79">
        <v>11367830147</v>
      </c>
      <c r="C79">
        <v>1</v>
      </c>
      <c r="D79" t="s">
        <v>166</v>
      </c>
    </row>
    <row r="80" spans="1:4" x14ac:dyDescent="0.55000000000000004">
      <c r="A80" s="1" t="s">
        <v>254</v>
      </c>
      <c r="B80">
        <v>7129952104</v>
      </c>
      <c r="C80">
        <v>4</v>
      </c>
      <c r="D80" t="s">
        <v>166</v>
      </c>
    </row>
    <row r="81" spans="1:4" x14ac:dyDescent="0.55000000000000004">
      <c r="A81" s="1" t="s">
        <v>255</v>
      </c>
      <c r="B81">
        <v>13541406352</v>
      </c>
      <c r="C81">
        <v>8</v>
      </c>
      <c r="D81" t="s">
        <v>166</v>
      </c>
    </row>
    <row r="82" spans="1:4" x14ac:dyDescent="0.55000000000000004">
      <c r="A82" s="1" t="s">
        <v>256</v>
      </c>
      <c r="B82">
        <v>13411406378</v>
      </c>
      <c r="C82">
        <v>12</v>
      </c>
      <c r="D82" t="s">
        <v>166</v>
      </c>
    </row>
    <row r="83" spans="1:4" x14ac:dyDescent="0.55000000000000004">
      <c r="A83" s="1" t="s">
        <v>257</v>
      </c>
      <c r="B83">
        <v>7129952113</v>
      </c>
      <c r="C83">
        <v>5</v>
      </c>
      <c r="D83" t="s">
        <v>187</v>
      </c>
    </row>
    <row r="84" spans="1:4" x14ac:dyDescent="0.55000000000000004">
      <c r="A84" s="1" t="s">
        <v>258</v>
      </c>
      <c r="B84">
        <v>13411406829</v>
      </c>
      <c r="C84">
        <v>1</v>
      </c>
      <c r="D84" t="s">
        <v>166</v>
      </c>
    </row>
    <row r="85" spans="1:4" x14ac:dyDescent="0.55000000000000004">
      <c r="A85" s="1" t="s">
        <v>259</v>
      </c>
      <c r="B85">
        <v>13417830411</v>
      </c>
      <c r="C85">
        <v>1</v>
      </c>
      <c r="D85" t="s">
        <v>166</v>
      </c>
    </row>
    <row r="86" spans="1:4" x14ac:dyDescent="0.55000000000000004">
      <c r="A86" s="1" t="s">
        <v>260</v>
      </c>
      <c r="B86">
        <v>13417830410</v>
      </c>
      <c r="C86">
        <v>1</v>
      </c>
      <c r="D86" t="s">
        <v>166</v>
      </c>
    </row>
    <row r="87" spans="1:4" x14ac:dyDescent="0.55000000000000004">
      <c r="A87" s="1" t="s">
        <v>261</v>
      </c>
      <c r="B87">
        <v>13417831480</v>
      </c>
      <c r="C87">
        <v>1</v>
      </c>
      <c r="D87" t="s">
        <v>166</v>
      </c>
    </row>
    <row r="88" spans="1:4" x14ac:dyDescent="0.55000000000000004">
      <c r="A88" s="1" t="s">
        <v>262</v>
      </c>
      <c r="B88">
        <v>13417830412</v>
      </c>
      <c r="C88">
        <v>1</v>
      </c>
      <c r="D88" t="s">
        <v>166</v>
      </c>
    </row>
    <row r="89" spans="1:4" x14ac:dyDescent="0.55000000000000004">
      <c r="A89" s="1" t="s">
        <v>263</v>
      </c>
      <c r="B89">
        <v>13417830580</v>
      </c>
      <c r="C89">
        <v>1</v>
      </c>
      <c r="D89" t="s">
        <v>166</v>
      </c>
    </row>
    <row r="90" spans="1:4" x14ac:dyDescent="0.55000000000000004">
      <c r="A90" t="s">
        <v>264</v>
      </c>
      <c r="B90">
        <v>13901741595</v>
      </c>
      <c r="C90">
        <v>1</v>
      </c>
      <c r="D90" t="s">
        <v>166</v>
      </c>
    </row>
    <row r="91" spans="1:4" x14ac:dyDescent="0.55000000000000004">
      <c r="A91" t="s">
        <v>265</v>
      </c>
      <c r="B91">
        <v>13537830982</v>
      </c>
      <c r="C91">
        <v>1</v>
      </c>
      <c r="D91" t="s">
        <v>166</v>
      </c>
    </row>
    <row r="92" spans="1:4" x14ac:dyDescent="0.55000000000000004">
      <c r="A92" t="s">
        <v>266</v>
      </c>
      <c r="B92">
        <v>7129952104</v>
      </c>
      <c r="C92">
        <v>2</v>
      </c>
      <c r="D92" t="s">
        <v>246</v>
      </c>
    </row>
    <row r="93" spans="1:4" x14ac:dyDescent="0.55000000000000004">
      <c r="A93" s="1" t="s">
        <v>267</v>
      </c>
      <c r="B93">
        <v>11441406691</v>
      </c>
      <c r="C93">
        <v>2</v>
      </c>
      <c r="D93" t="s">
        <v>166</v>
      </c>
    </row>
    <row r="94" spans="1:4" x14ac:dyDescent="0.55000000000000004">
      <c r="A94" s="1" t="s">
        <v>268</v>
      </c>
      <c r="B94">
        <v>11441406694</v>
      </c>
      <c r="C94">
        <v>1</v>
      </c>
      <c r="D94" t="s">
        <v>166</v>
      </c>
    </row>
    <row r="95" spans="1:4" x14ac:dyDescent="0.55000000000000004">
      <c r="B95">
        <v>11441406693</v>
      </c>
      <c r="C95">
        <v>1</v>
      </c>
      <c r="D95" t="s">
        <v>166</v>
      </c>
    </row>
    <row r="96" spans="1:4" x14ac:dyDescent="0.55000000000000004">
      <c r="B96">
        <v>11441406702</v>
      </c>
      <c r="C96">
        <v>1</v>
      </c>
      <c r="D96" t="s">
        <v>166</v>
      </c>
    </row>
    <row r="97" spans="1:4" x14ac:dyDescent="0.55000000000000004">
      <c r="A97" s="1" t="s">
        <v>269</v>
      </c>
      <c r="B97">
        <v>11127833733</v>
      </c>
      <c r="C97">
        <v>1</v>
      </c>
      <c r="D97" t="s">
        <v>166</v>
      </c>
    </row>
    <row r="98" spans="1:4" x14ac:dyDescent="0.55000000000000004">
      <c r="A98" s="1" t="s">
        <v>270</v>
      </c>
      <c r="B98">
        <v>11127833734</v>
      </c>
      <c r="C98">
        <v>1</v>
      </c>
      <c r="D98" t="s">
        <v>166</v>
      </c>
    </row>
    <row r="99" spans="1:4" x14ac:dyDescent="0.55000000000000004">
      <c r="A99" s="1" t="s">
        <v>271</v>
      </c>
      <c r="B99">
        <v>11311406165</v>
      </c>
      <c r="C99">
        <v>1</v>
      </c>
      <c r="D99" t="s">
        <v>166</v>
      </c>
    </row>
    <row r="100" spans="1:4" x14ac:dyDescent="0.55000000000000004">
      <c r="A100" s="1" t="s">
        <v>272</v>
      </c>
      <c r="B100">
        <v>11121713264</v>
      </c>
      <c r="C100">
        <v>4</v>
      </c>
      <c r="D100" t="s">
        <v>166</v>
      </c>
    </row>
    <row r="101" spans="1:4" x14ac:dyDescent="0.55000000000000004">
      <c r="A101" s="1" t="s">
        <v>273</v>
      </c>
      <c r="B101">
        <v>11141736758</v>
      </c>
      <c r="C101">
        <v>2</v>
      </c>
      <c r="D101" t="s">
        <v>191</v>
      </c>
    </row>
    <row r="102" spans="1:4" x14ac:dyDescent="0.55000000000000004">
      <c r="A102" s="1" t="s">
        <v>274</v>
      </c>
      <c r="B102">
        <v>11311406166</v>
      </c>
      <c r="C102">
        <v>1</v>
      </c>
      <c r="D102" t="s">
        <v>166</v>
      </c>
    </row>
    <row r="103" spans="1:4" x14ac:dyDescent="0.55000000000000004">
      <c r="A103" s="1" t="s">
        <v>275</v>
      </c>
      <c r="B103">
        <v>11311407337</v>
      </c>
      <c r="C103">
        <v>1</v>
      </c>
      <c r="D103" t="s">
        <v>166</v>
      </c>
    </row>
    <row r="104" spans="1:4" x14ac:dyDescent="0.55000000000000004">
      <c r="A104" s="1" t="s">
        <v>276</v>
      </c>
      <c r="B104">
        <v>11311406366</v>
      </c>
      <c r="C104">
        <v>1</v>
      </c>
      <c r="D104" t="s">
        <v>166</v>
      </c>
    </row>
    <row r="105" spans="1:4" x14ac:dyDescent="0.55000000000000004">
      <c r="A105" s="1" t="s">
        <v>277</v>
      </c>
      <c r="B105">
        <v>11311406280</v>
      </c>
      <c r="C105">
        <v>1</v>
      </c>
      <c r="D105" t="s">
        <v>166</v>
      </c>
    </row>
    <row r="106" spans="1:4" x14ac:dyDescent="0.55000000000000004">
      <c r="A106" s="1" t="s">
        <v>278</v>
      </c>
      <c r="B106">
        <v>11311745409</v>
      </c>
      <c r="C106">
        <v>2</v>
      </c>
      <c r="D106" t="s">
        <v>166</v>
      </c>
    </row>
    <row r="107" spans="1:4" x14ac:dyDescent="0.55000000000000004">
      <c r="A107" s="1" t="s">
        <v>279</v>
      </c>
      <c r="B107">
        <v>7119904199</v>
      </c>
      <c r="C107">
        <v>1</v>
      </c>
      <c r="D107" t="s">
        <v>166</v>
      </c>
    </row>
    <row r="108" spans="1:4" x14ac:dyDescent="0.55000000000000004">
      <c r="A108" s="1" t="s">
        <v>280</v>
      </c>
      <c r="B108">
        <v>11311406261</v>
      </c>
      <c r="C108">
        <v>1</v>
      </c>
      <c r="D108" t="s">
        <v>281</v>
      </c>
    </row>
    <row r="109" spans="1:4" x14ac:dyDescent="0.55000000000000004">
      <c r="A109" s="1" t="s">
        <v>282</v>
      </c>
      <c r="B109">
        <v>7119963355</v>
      </c>
      <c r="C109">
        <v>1</v>
      </c>
      <c r="D109" t="s">
        <v>189</v>
      </c>
    </row>
    <row r="110" spans="1:4" x14ac:dyDescent="0.55000000000000004">
      <c r="A110" s="1" t="s">
        <v>283</v>
      </c>
      <c r="B110">
        <v>11120001269</v>
      </c>
      <c r="C110">
        <v>1</v>
      </c>
      <c r="D110" t="s">
        <v>189</v>
      </c>
    </row>
    <row r="111" spans="1:4" x14ac:dyDescent="0.55000000000000004">
      <c r="A111" s="1" t="s">
        <v>284</v>
      </c>
      <c r="B111">
        <v>11120001278</v>
      </c>
      <c r="C111">
        <v>1</v>
      </c>
      <c r="D111" t="s">
        <v>189</v>
      </c>
    </row>
    <row r="112" spans="1:4" x14ac:dyDescent="0.55000000000000004">
      <c r="A112" s="1" t="s">
        <v>285</v>
      </c>
      <c r="B112">
        <v>11121721879</v>
      </c>
      <c r="C112">
        <v>6</v>
      </c>
      <c r="D112" t="s">
        <v>189</v>
      </c>
    </row>
    <row r="113" spans="1:4" x14ac:dyDescent="0.55000000000000004">
      <c r="A113" s="1" t="s">
        <v>286</v>
      </c>
      <c r="B113">
        <v>11121437395</v>
      </c>
      <c r="C113">
        <v>20</v>
      </c>
      <c r="D113" t="s">
        <v>187</v>
      </c>
    </row>
    <row r="114" spans="1:4" x14ac:dyDescent="0.55000000000000004">
      <c r="A114" s="1" t="s">
        <v>287</v>
      </c>
      <c r="B114">
        <v>7589062376</v>
      </c>
      <c r="C114">
        <v>1</v>
      </c>
      <c r="D114" t="s">
        <v>288</v>
      </c>
    </row>
    <row r="115" spans="1:4" x14ac:dyDescent="0.55000000000000004">
      <c r="A115" s="1" t="s">
        <v>289</v>
      </c>
      <c r="B115">
        <v>11611406747</v>
      </c>
      <c r="C115">
        <v>4</v>
      </c>
      <c r="D115" t="s">
        <v>166</v>
      </c>
    </row>
    <row r="116" spans="1:4" x14ac:dyDescent="0.55000000000000004">
      <c r="A116" s="1" t="s">
        <v>290</v>
      </c>
      <c r="B116">
        <v>11111734667</v>
      </c>
      <c r="C116">
        <v>2</v>
      </c>
      <c r="D116" t="s">
        <v>166</v>
      </c>
    </row>
    <row r="117" spans="1:4" x14ac:dyDescent="0.55000000000000004">
      <c r="A117" s="1" t="s">
        <v>291</v>
      </c>
      <c r="B117">
        <v>11111739185</v>
      </c>
      <c r="C117">
        <v>2</v>
      </c>
      <c r="D117" t="s">
        <v>166</v>
      </c>
    </row>
    <row r="118" spans="1:4" x14ac:dyDescent="0.55000000000000004">
      <c r="A118" s="1" t="s">
        <v>292</v>
      </c>
      <c r="B118">
        <v>11311406167</v>
      </c>
      <c r="C118">
        <v>2</v>
      </c>
      <c r="D118" t="s">
        <v>293</v>
      </c>
    </row>
    <row r="119" spans="1:4" x14ac:dyDescent="0.55000000000000004">
      <c r="A119" s="1" t="s">
        <v>294</v>
      </c>
      <c r="B119">
        <v>11140001187</v>
      </c>
      <c r="C119">
        <v>1</v>
      </c>
      <c r="D119" t="s">
        <v>191</v>
      </c>
    </row>
    <row r="120" spans="1:4" x14ac:dyDescent="0.55000000000000004">
      <c r="A120" s="1" t="s">
        <v>295</v>
      </c>
      <c r="B120">
        <v>11140001186</v>
      </c>
      <c r="C120">
        <v>2</v>
      </c>
      <c r="D120" t="s">
        <v>191</v>
      </c>
    </row>
    <row r="121" spans="1:4" x14ac:dyDescent="0.55000000000000004">
      <c r="A121" s="1" t="s">
        <v>296</v>
      </c>
      <c r="B121">
        <v>11311407052</v>
      </c>
      <c r="C121">
        <v>1</v>
      </c>
      <c r="D121" t="s">
        <v>293</v>
      </c>
    </row>
    <row r="122" spans="1:4" x14ac:dyDescent="0.55000000000000004">
      <c r="A122" t="s">
        <v>297</v>
      </c>
      <c r="B122">
        <v>18307536425</v>
      </c>
      <c r="C122">
        <v>4</v>
      </c>
      <c r="D122" t="s">
        <v>298</v>
      </c>
    </row>
    <row r="123" spans="1:4" x14ac:dyDescent="0.55000000000000004">
      <c r="A123" s="1" t="s">
        <v>299</v>
      </c>
      <c r="B123">
        <v>12147539173</v>
      </c>
      <c r="C123">
        <v>2</v>
      </c>
      <c r="D123" t="s">
        <v>187</v>
      </c>
    </row>
    <row r="124" spans="1:4" x14ac:dyDescent="0.55000000000000004">
      <c r="A124" s="1" t="s">
        <v>300</v>
      </c>
      <c r="B124">
        <v>13627796054</v>
      </c>
      <c r="C124">
        <v>2</v>
      </c>
      <c r="D124" t="s">
        <v>187</v>
      </c>
    </row>
    <row r="125" spans="1:4" x14ac:dyDescent="0.55000000000000004">
      <c r="A125" t="s">
        <v>301</v>
      </c>
      <c r="B125">
        <v>11721407017</v>
      </c>
      <c r="C125">
        <v>1</v>
      </c>
      <c r="D125" t="s">
        <v>166</v>
      </c>
    </row>
    <row r="126" spans="1:4" x14ac:dyDescent="0.55000000000000004">
      <c r="A126" t="s">
        <v>302</v>
      </c>
      <c r="B126">
        <v>11727505259</v>
      </c>
      <c r="C126">
        <v>1</v>
      </c>
      <c r="D126" t="s">
        <v>191</v>
      </c>
    </row>
    <row r="127" spans="1:4" x14ac:dyDescent="0.55000000000000004">
      <c r="A127" t="s">
        <v>303</v>
      </c>
      <c r="B127" t="s">
        <v>304</v>
      </c>
      <c r="C127">
        <v>1</v>
      </c>
      <c r="D127" t="s">
        <v>161</v>
      </c>
    </row>
    <row r="128" spans="1:4" x14ac:dyDescent="0.55000000000000004">
      <c r="A128" t="s">
        <v>305</v>
      </c>
      <c r="B128" t="s">
        <v>306</v>
      </c>
      <c r="C128">
        <v>1</v>
      </c>
      <c r="D128" t="s">
        <v>161</v>
      </c>
    </row>
    <row r="129" spans="1:4" x14ac:dyDescent="0.55000000000000004">
      <c r="A129" t="s">
        <v>307</v>
      </c>
      <c r="B129">
        <v>11121406247</v>
      </c>
      <c r="C129">
        <v>6</v>
      </c>
      <c r="D129" t="s">
        <v>166</v>
      </c>
    </row>
    <row r="130" spans="1:4" x14ac:dyDescent="0.55000000000000004">
      <c r="A130" t="s">
        <v>308</v>
      </c>
      <c r="B130">
        <v>11531406737</v>
      </c>
      <c r="C130">
        <v>2</v>
      </c>
      <c r="D130" t="s">
        <v>166</v>
      </c>
    </row>
    <row r="131" spans="1:4" x14ac:dyDescent="0.55000000000000004">
      <c r="A131" t="s">
        <v>309</v>
      </c>
      <c r="B131">
        <v>64218387521</v>
      </c>
      <c r="C131">
        <v>1</v>
      </c>
      <c r="D131" t="s">
        <v>310</v>
      </c>
    </row>
    <row r="132" spans="1:4" x14ac:dyDescent="0.55000000000000004">
      <c r="A132" t="s">
        <v>311</v>
      </c>
      <c r="B132">
        <v>64218391013</v>
      </c>
      <c r="C132">
        <v>1</v>
      </c>
      <c r="D132" t="s">
        <v>310</v>
      </c>
    </row>
    <row r="133" spans="1:4" x14ac:dyDescent="0.55000000000000004">
      <c r="A133" t="s">
        <v>312</v>
      </c>
      <c r="B133">
        <v>7129952109</v>
      </c>
      <c r="C133">
        <v>4</v>
      </c>
      <c r="D133" t="s">
        <v>166</v>
      </c>
    </row>
    <row r="134" spans="1:4" x14ac:dyDescent="0.55000000000000004">
      <c r="A134" t="s">
        <v>313</v>
      </c>
      <c r="B134">
        <v>11531710055</v>
      </c>
      <c r="C134">
        <v>1</v>
      </c>
      <c r="D134" t="s">
        <v>191</v>
      </c>
    </row>
    <row r="135" spans="1:4" x14ac:dyDescent="0.55000000000000004">
      <c r="A135" t="s">
        <v>314</v>
      </c>
      <c r="B135">
        <v>11531407451</v>
      </c>
      <c r="C135">
        <v>1</v>
      </c>
      <c r="D135" t="s">
        <v>166</v>
      </c>
    </row>
    <row r="136" spans="1:4" x14ac:dyDescent="0.55000000000000004">
      <c r="A136" t="s">
        <v>315</v>
      </c>
      <c r="B136">
        <v>7129952113</v>
      </c>
      <c r="C136">
        <v>2</v>
      </c>
      <c r="D136" t="s">
        <v>166</v>
      </c>
    </row>
    <row r="137" spans="1:4" x14ac:dyDescent="0.55000000000000004">
      <c r="A137" t="s">
        <v>316</v>
      </c>
      <c r="B137">
        <v>32411093596</v>
      </c>
      <c r="C137">
        <v>2</v>
      </c>
      <c r="D137" t="s">
        <v>191</v>
      </c>
    </row>
    <row r="138" spans="1:4" x14ac:dyDescent="0.55000000000000004">
      <c r="B138">
        <v>32411093597</v>
      </c>
      <c r="C138">
        <v>4</v>
      </c>
      <c r="D138" t="s">
        <v>191</v>
      </c>
    </row>
    <row r="139" spans="1:4" x14ac:dyDescent="0.55000000000000004">
      <c r="A139" t="s">
        <v>317</v>
      </c>
      <c r="B139">
        <v>26127511140</v>
      </c>
      <c r="C139">
        <v>1</v>
      </c>
      <c r="D139" t="s">
        <v>166</v>
      </c>
    </row>
    <row r="140" spans="1:4" x14ac:dyDescent="0.55000000000000004">
      <c r="A140" t="s">
        <v>318</v>
      </c>
      <c r="B140" t="s">
        <v>319</v>
      </c>
      <c r="C140">
        <v>1</v>
      </c>
      <c r="D140" t="s">
        <v>320</v>
      </c>
    </row>
    <row r="141" spans="1:4" x14ac:dyDescent="0.55000000000000004">
      <c r="A141" s="1" t="s">
        <v>321</v>
      </c>
      <c r="B141">
        <v>64508375741</v>
      </c>
      <c r="C141">
        <v>3</v>
      </c>
      <c r="D141" t="s">
        <v>166</v>
      </c>
    </row>
    <row r="142" spans="1:4" x14ac:dyDescent="0.55000000000000004">
      <c r="A142" s="1" t="s">
        <v>143</v>
      </c>
      <c r="B142">
        <v>64508374959</v>
      </c>
      <c r="C142">
        <v>4</v>
      </c>
      <c r="D142" t="s">
        <v>322</v>
      </c>
    </row>
    <row r="143" spans="1:4" x14ac:dyDescent="0.55000000000000004">
      <c r="A143" s="1" t="s">
        <v>323</v>
      </c>
      <c r="B143">
        <v>64538377330</v>
      </c>
      <c r="C143">
        <v>1</v>
      </c>
      <c r="D143" t="s">
        <v>324</v>
      </c>
    </row>
    <row r="144" spans="1:4" x14ac:dyDescent="0.55000000000000004">
      <c r="A144" s="1" t="s">
        <v>325</v>
      </c>
      <c r="B144">
        <v>17211742636</v>
      </c>
      <c r="C144">
        <v>2</v>
      </c>
      <c r="D144" t="s">
        <v>322</v>
      </c>
    </row>
    <row r="145" spans="1:4" x14ac:dyDescent="0.55000000000000004">
      <c r="A145" s="1" t="s">
        <v>326</v>
      </c>
      <c r="B145">
        <v>22316771221</v>
      </c>
      <c r="C145">
        <v>2</v>
      </c>
      <c r="D145" t="s">
        <v>222</v>
      </c>
    </row>
    <row r="146" spans="1:4" x14ac:dyDescent="0.55000000000000004">
      <c r="A146" s="1" t="s">
        <v>327</v>
      </c>
      <c r="B146">
        <v>22316760944</v>
      </c>
      <c r="C146">
        <v>2</v>
      </c>
      <c r="D146" t="s">
        <v>166</v>
      </c>
    </row>
    <row r="147" spans="1:4" x14ac:dyDescent="0.55000000000000004">
      <c r="A147" s="1" t="s">
        <v>328</v>
      </c>
      <c r="B147">
        <v>7129904862</v>
      </c>
      <c r="C147">
        <v>2</v>
      </c>
      <c r="D147" t="s">
        <v>166</v>
      </c>
    </row>
    <row r="148" spans="1:4" x14ac:dyDescent="0.55000000000000004">
      <c r="A148" s="1" t="s">
        <v>329</v>
      </c>
      <c r="B148">
        <v>7119906045</v>
      </c>
      <c r="C148">
        <v>6</v>
      </c>
      <c r="D148" t="s">
        <v>166</v>
      </c>
    </row>
    <row r="149" spans="1:4" x14ac:dyDescent="0.55000000000000004">
      <c r="A149" s="1" t="s">
        <v>330</v>
      </c>
      <c r="B149">
        <v>21511223328</v>
      </c>
      <c r="C149">
        <v>1</v>
      </c>
      <c r="D149" t="s">
        <v>166</v>
      </c>
    </row>
    <row r="150" spans="1:4" x14ac:dyDescent="0.55000000000000004">
      <c r="A150" s="1" t="s">
        <v>331</v>
      </c>
      <c r="B150">
        <v>21517570284</v>
      </c>
      <c r="C150">
        <v>1</v>
      </c>
      <c r="D150" t="s">
        <v>166</v>
      </c>
    </row>
    <row r="151" spans="1:4" x14ac:dyDescent="0.55000000000000004">
      <c r="A151" s="1" t="s">
        <v>332</v>
      </c>
      <c r="B151">
        <v>12311718712</v>
      </c>
      <c r="C151">
        <v>2</v>
      </c>
      <c r="D151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Engine</vt:lpstr>
      <vt:lpstr>Order List</vt:lpstr>
      <vt:lpstr>Nate Jones List</vt:lpstr>
      <vt:lpstr>'Order List'!Print_Area</vt:lpstr>
      <vt:lpstr>'Order List'!Print_Titles</vt:lpstr>
    </vt:vector>
  </TitlesOfParts>
  <Company>Veolia Environmental Services (UK) plc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Paul Gallagher</cp:lastModifiedBy>
  <cp:lastPrinted>2022-03-30T14:16:38Z</cp:lastPrinted>
  <dcterms:created xsi:type="dcterms:W3CDTF">2017-01-31T16:21:28Z</dcterms:created>
  <dcterms:modified xsi:type="dcterms:W3CDTF">2024-01-19T16:27:09Z</dcterms:modified>
</cp:coreProperties>
</file>